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20" firstSheet="32" activeTab="32"/>
  </bookViews>
  <sheets>
    <sheet name="Стадионная 81" sheetId="1" r:id="rId1"/>
    <sheet name="Стадионная 83" sheetId="2" r:id="rId2"/>
    <sheet name="Стадионная 87" sheetId="3" r:id="rId3"/>
    <sheet name="Стадион.88" sheetId="4" r:id="rId4"/>
    <sheet name="Стадион. 89" sheetId="5" r:id="rId5"/>
    <sheet name="Стадион.91" sheetId="6" r:id="rId6"/>
    <sheet name="Стадион. 93" sheetId="7" r:id="rId7"/>
    <sheet name="Стадион. 95" sheetId="8" r:id="rId8"/>
    <sheet name="Стадион. 97" sheetId="9" r:id="rId9"/>
    <sheet name="Стадион.99" sheetId="10" r:id="rId10"/>
    <sheet name="Стадион.101" sheetId="11" r:id="rId11"/>
    <sheet name="Стадион.103" sheetId="12" r:id="rId12"/>
    <sheet name="Ленина 27" sheetId="13" r:id="rId13"/>
    <sheet name="Ленина 12" sheetId="14" r:id="rId14"/>
    <sheet name="Ленина 10" sheetId="15" r:id="rId15"/>
    <sheet name="Ленина 8" sheetId="16" r:id="rId16"/>
    <sheet name="Лесная 8" sheetId="17" r:id="rId17"/>
    <sheet name="Декабристов 101" sheetId="18" r:id="rId18"/>
    <sheet name="Декабристов134" sheetId="19" r:id="rId19"/>
    <sheet name="Декабристов136" sheetId="20" r:id="rId20"/>
    <sheet name="Декабристов 138" sheetId="21" r:id="rId21"/>
    <sheet name="Декабристов 140" sheetId="22" r:id="rId22"/>
    <sheet name="Декабристов 142" sheetId="23" r:id="rId23"/>
    <sheet name="Декабристов 144" sheetId="24" r:id="rId24"/>
    <sheet name="Лобашова 129" sheetId="25" r:id="rId25"/>
    <sheet name="Лобашова 131" sheetId="26" r:id="rId26"/>
    <sheet name="Лобашова 134" sheetId="27" r:id="rId27"/>
    <sheet name="Лобашова 136" sheetId="28" r:id="rId28"/>
    <sheet name="Лобашова 138" sheetId="29" r:id="rId29"/>
    <sheet name="Лобашова 139" sheetId="30" r:id="rId30"/>
    <sheet name="Лобашова 140" sheetId="31" r:id="rId31"/>
    <sheet name="Лобашова 142" sheetId="32" r:id="rId32"/>
    <sheet name="Лобашова 144" sheetId="33" r:id="rId33"/>
    <sheet name="Лобашова 145" sheetId="34" r:id="rId34"/>
    <sheet name="Лобашова 150" sheetId="35" r:id="rId35"/>
    <sheet name="Лобашова 152" sheetId="36" r:id="rId36"/>
    <sheet name="Лобашова 154" sheetId="37" r:id="rId37"/>
    <sheet name="Лобашова 156" sheetId="38" r:id="rId38"/>
    <sheet name="Лобашова 158" sheetId="39" r:id="rId39"/>
    <sheet name="Лобашова 158 А" sheetId="40" r:id="rId40"/>
    <sheet name="Лист1" sheetId="41" r:id="rId41"/>
    <sheet name="Лист2" sheetId="42" r:id="rId42"/>
  </sheets>
  <definedNames>
    <definedName name="_xlnm.Print_Titles" localSheetId="17">'Декабристов 101'!$9:$11</definedName>
    <definedName name="_xlnm.Print_Titles" localSheetId="20">'Декабристов 138'!$9:$11</definedName>
    <definedName name="_xlnm.Print_Titles" localSheetId="21">'Декабристов 140'!$9:$11</definedName>
    <definedName name="_xlnm.Print_Titles" localSheetId="22">'Декабристов 142'!$9:$11</definedName>
    <definedName name="_xlnm.Print_Titles" localSheetId="18">'Декабристов134'!$9:$11</definedName>
    <definedName name="_xlnm.Print_Titles" localSheetId="19">'Декабристов136'!$9:$11</definedName>
    <definedName name="_xlnm.Print_Titles" localSheetId="14">'Ленина 10'!$9:$11</definedName>
    <definedName name="_xlnm.Print_Titles" localSheetId="13">'Ленина 12'!$9:$11</definedName>
    <definedName name="_xlnm.Print_Titles" localSheetId="12">'Ленина 27'!$9:$11</definedName>
    <definedName name="_xlnm.Print_Titles" localSheetId="15">'Ленина 8'!$9:$11</definedName>
    <definedName name="_xlnm.Print_Titles" localSheetId="24">'Лобашова 129'!$9:$11</definedName>
    <definedName name="_xlnm.Print_Titles" localSheetId="25">'Лобашова 131'!$9:$11</definedName>
    <definedName name="_xlnm.Print_Titles" localSheetId="26">'Лобашова 134'!$9:$11</definedName>
    <definedName name="_xlnm.Print_Titles" localSheetId="27">'Лобашова 136'!$9:$11</definedName>
    <definedName name="_xlnm.Print_Titles" localSheetId="28">'Лобашова 138'!$9:$11</definedName>
    <definedName name="_xlnm.Print_Titles" localSheetId="30">'Лобашова 140'!$9:$11</definedName>
    <definedName name="_xlnm.Print_Titles" localSheetId="33">'Лобашова 145'!$9:$11</definedName>
    <definedName name="_xlnm.Print_Titles" localSheetId="34">'Лобашова 150'!$9:$11</definedName>
    <definedName name="_xlnm.Print_Titles" localSheetId="35">'Лобашова 152'!$9:$11</definedName>
    <definedName name="_xlnm.Print_Titles" localSheetId="36">'Лобашова 154'!$9:$11</definedName>
    <definedName name="_xlnm.Print_Titles" localSheetId="37">'Лобашова 156'!$9:$11</definedName>
    <definedName name="_xlnm.Print_Titles" localSheetId="38">'Лобашова 158'!$9:$11</definedName>
    <definedName name="_xlnm.Print_Titles" localSheetId="4">'Стадион. 89'!$9:$11</definedName>
    <definedName name="_xlnm.Print_Titles" localSheetId="6">'Стадион. 93'!$9:$11</definedName>
    <definedName name="_xlnm.Print_Titles" localSheetId="7">'Стадион. 95'!$9:$11</definedName>
    <definedName name="_xlnm.Print_Titles" localSheetId="8">'Стадион. 97'!$9:$11</definedName>
    <definedName name="_xlnm.Print_Titles" localSheetId="11">'Стадион.103'!$9:$11</definedName>
    <definedName name="_xlnm.Print_Titles" localSheetId="3">'Стадион.88'!$9:$12</definedName>
    <definedName name="_xlnm.Print_Titles" localSheetId="5">'Стадион.91'!$9:$11</definedName>
    <definedName name="_xlnm.Print_Titles" localSheetId="9">'Стадион.99'!$9:$11</definedName>
    <definedName name="_xlnm.Print_Titles" localSheetId="0">'Стадионная 81'!$9:$11</definedName>
    <definedName name="_xlnm.Print_Titles" localSheetId="1">'Стадионная 83'!$9:$11</definedName>
    <definedName name="_xlnm.Print_Titles" localSheetId="2">'Стадионная 87'!$9:$11</definedName>
    <definedName name="_xlnm.Print_Area" localSheetId="17">'Декабристов 101'!$A$1:$G$57</definedName>
    <definedName name="_xlnm.Print_Area" localSheetId="20">'Декабристов 138'!$A$1:$G$67</definedName>
    <definedName name="_xlnm.Print_Area" localSheetId="21">'Декабристов 140'!$A$1:$G$61</definedName>
    <definedName name="_xlnm.Print_Area" localSheetId="22">'Декабристов 142'!$A$1:$G$67</definedName>
    <definedName name="_xlnm.Print_Area" localSheetId="23">'Декабристов 144'!$A$1:$G$39</definedName>
    <definedName name="_xlnm.Print_Area" localSheetId="18">'Декабристов134'!$A$1:$G$67</definedName>
    <definedName name="_xlnm.Print_Area" localSheetId="19">'Декабристов136'!$A$1:$G$67</definedName>
    <definedName name="_xlnm.Print_Area" localSheetId="14">'Ленина 10'!$A$1:$G$71</definedName>
    <definedName name="_xlnm.Print_Area" localSheetId="13">'Ленина 12'!$A$1:$G$69</definedName>
    <definedName name="_xlnm.Print_Area" localSheetId="12">'Ленина 27'!$A$1:$G$59</definedName>
    <definedName name="_xlnm.Print_Area" localSheetId="15">'Ленина 8'!$A$1:$G$68</definedName>
    <definedName name="_xlnm.Print_Area" localSheetId="16">'Лесная 8'!$A$1:$J$41</definedName>
    <definedName name="_xlnm.Print_Area" localSheetId="24">'Лобашова 129'!$A$1:$G$62</definedName>
    <definedName name="_xlnm.Print_Area" localSheetId="25">'Лобашова 131'!$A$1:$G$62</definedName>
    <definedName name="_xlnm.Print_Area" localSheetId="26">'Лобашова 134'!$A$1:$G$60</definedName>
    <definedName name="_xlnm.Print_Area" localSheetId="27">'Лобашова 136'!$A$1:$G$58</definedName>
    <definedName name="_xlnm.Print_Area" localSheetId="28">'Лобашова 138'!$A$1:$G$60</definedName>
    <definedName name="_xlnm.Print_Area" localSheetId="29">'Лобашова 139'!$A$1:$G$53</definedName>
    <definedName name="_xlnm.Print_Area" localSheetId="30">'Лобашова 140'!$A$1:$G$67</definedName>
    <definedName name="_xlnm.Print_Area" localSheetId="31">'Лобашова 142'!$A$1:$G$57</definedName>
    <definedName name="_xlnm.Print_Area" localSheetId="32">'Лобашова 144'!$A$1:$G$55</definedName>
    <definedName name="_xlnm.Print_Area" localSheetId="33">'Лобашова 145'!$A$1:$G$50</definedName>
    <definedName name="_xlnm.Print_Area" localSheetId="34">'Лобашова 150'!$A$1:$H$50</definedName>
    <definedName name="_xlnm.Print_Area" localSheetId="35">'Лобашова 152'!$A$1:$G$56</definedName>
    <definedName name="_xlnm.Print_Area" localSheetId="36">'Лобашова 154'!$A$1:$G$64</definedName>
    <definedName name="_xlnm.Print_Area" localSheetId="37">'Лобашова 156'!$A$1:$G$47</definedName>
    <definedName name="_xlnm.Print_Area" localSheetId="38">'Лобашова 158'!$A$1:$G$49</definedName>
    <definedName name="_xlnm.Print_Area" localSheetId="39">'Лобашова 158 А'!$A$1:$G$39</definedName>
    <definedName name="_xlnm.Print_Area" localSheetId="4">'Стадион. 89'!$A$1:$G$63</definedName>
    <definedName name="_xlnm.Print_Area" localSheetId="6">'Стадион. 93'!$A$1:$G$56</definedName>
    <definedName name="_xlnm.Print_Area" localSheetId="7">'Стадион. 95'!$A$1:$G$61</definedName>
    <definedName name="_xlnm.Print_Area" localSheetId="8">'Стадион. 97'!$A$1:$G$60</definedName>
    <definedName name="_xlnm.Print_Area" localSheetId="10">'Стадион.101'!$A$1:$G$58</definedName>
    <definedName name="_xlnm.Print_Area" localSheetId="11">'Стадион.103'!$A$1:$G$62</definedName>
    <definedName name="_xlnm.Print_Area" localSheetId="3">'Стадион.88'!$A$1:$G$68</definedName>
    <definedName name="_xlnm.Print_Area" localSheetId="5">'Стадион.91'!$A$1:$G$50</definedName>
    <definedName name="_xlnm.Print_Area" localSheetId="9">'Стадион.99'!$A$1:$G$65</definedName>
    <definedName name="_xlnm.Print_Area" localSheetId="0">'Стадионная 81'!$A$1:$G$63</definedName>
    <definedName name="_xlnm.Print_Area" localSheetId="1">'Стадионная 83'!$A$1:$G$65</definedName>
    <definedName name="_xlnm.Print_Area" localSheetId="2">'Стадионная 87'!$A$1:$G$63</definedName>
  </definedNames>
  <calcPr fullCalcOnLoad="1"/>
</workbook>
</file>

<file path=xl/sharedStrings.xml><?xml version="1.0" encoding="utf-8"?>
<sst xmlns="http://schemas.openxmlformats.org/spreadsheetml/2006/main" count="2930" uniqueCount="950">
  <si>
    <t>Смена ламп 6 шт.,патронов 1 шт.</t>
  </si>
  <si>
    <t>Смена ламп 6 шт.</t>
  </si>
  <si>
    <t xml:space="preserve">ноябрь м-ц </t>
  </si>
  <si>
    <t>ОАО "КРУИИКХ" о выполненных   работах по содержанию и ремонту мест общего пользования                                                     многоквартирного дома Декабристов 142 г.Касли</t>
  </si>
  <si>
    <t>ОАО "КРУИИКХ" о выполненных   работах по содержанию и ремонту мест общего пользования многоквартирного дома Декабристов 144 г.Касли</t>
  </si>
  <si>
    <t>Общая площадь дома(кв.м)</t>
  </si>
  <si>
    <t>Виды работ по содержанию и текущему ремонту дома</t>
  </si>
  <si>
    <t>Освещение подъездов</t>
  </si>
  <si>
    <t>№ п/п</t>
  </si>
  <si>
    <t>Итого</t>
  </si>
  <si>
    <t>Уборка лестничных клеток</t>
  </si>
  <si>
    <t>Услуги управляющей компании</t>
  </si>
  <si>
    <t>1.</t>
  </si>
  <si>
    <t>1.1</t>
  </si>
  <si>
    <t>1.2</t>
  </si>
  <si>
    <t>Работы по санитарной уборке придомовой территории</t>
  </si>
  <si>
    <t>1.3</t>
  </si>
  <si>
    <t>Администрация ОАО "КРУИИКХ"</t>
  </si>
  <si>
    <t>рублей</t>
  </si>
  <si>
    <t>Аварийно-диспетчерская служба</t>
  </si>
  <si>
    <t>Благоустройство и обеспечение санитарного состояния здания и придомовой территории, в том числе</t>
  </si>
  <si>
    <t>2</t>
  </si>
  <si>
    <t>3</t>
  </si>
  <si>
    <t>4</t>
  </si>
  <si>
    <t>Ремонт и обслуживание конструктивных элементов, внутридомомового инженерного оборудования, в т.ч.текущий ремонт</t>
  </si>
  <si>
    <t>Отчет  управляющей организации</t>
  </si>
  <si>
    <t>Сбор и вывоз ТБО (с учетом КГМ)</t>
  </si>
  <si>
    <t>Ремонт дверей 2 шт</t>
  </si>
  <si>
    <t>Прочистка канализации 32 м</t>
  </si>
  <si>
    <t>Смена ламп 7 шт,выключателей 1 шт</t>
  </si>
  <si>
    <t>Ремонт дверей 1 шт</t>
  </si>
  <si>
    <r>
      <t>м</t>
    </r>
    <r>
      <rPr>
        <vertAlign val="superscript"/>
        <sz val="14"/>
        <color indexed="62"/>
        <rFont val="Times New Roman"/>
        <family val="1"/>
      </rPr>
      <t>2</t>
    </r>
  </si>
  <si>
    <t>Принято в тарифе            (руб.коп. на 1 кв.м. общей площади в месяц)</t>
  </si>
  <si>
    <t>2012 год</t>
  </si>
  <si>
    <t>2013 год</t>
  </si>
  <si>
    <t>Долг возрос за 2012 год</t>
  </si>
  <si>
    <t>Разница между планом и фактом</t>
  </si>
  <si>
    <t>ОАО "КРУИИКХ" о выполненных   работах по содержанию и ремонту мест общего пользования многоквартирного дома Стадионная 88 г.Касли</t>
  </si>
  <si>
    <t>ОАО "КРУИИКХ" о выполненных   работах по содержанию и ремонту мест общего пользования                              многоквартирного дома Стадионная 89 г.Касли</t>
  </si>
  <si>
    <t>ОАО "КРУИИКХ" о выполненных   работах по содержанию и ремонту мест общего пользования многоквартирного дома Стадионная 91 г.Касли</t>
  </si>
  <si>
    <t>ОАО "КРУИИКХ" о выполненных   работах по содержанию и ремонту мест общего пользования                  многоквартирного дома Стадионная 93 г.Касли</t>
  </si>
  <si>
    <t>ОАО "КРУИИКХ" о выполненных   работах по содержанию и ремонту мест общего пользования        многоквартирного дома Стадионная 95 г.Касли</t>
  </si>
  <si>
    <t>ОАО "КРУИИКХ" о выполненных   работах по содержанию и ремонту мест общего пользования                                                            многоквартирного дома Стадионная 97 г.Касли</t>
  </si>
  <si>
    <t>ОАО "КРУИИКХ" о выполненных   работах по содержанию и ремонту мест общего пользования                                            многоквартирного дома Стадионная 99 г.Касли</t>
  </si>
  <si>
    <t>ОАО "КРУИИКХ" о выполненных   работах по содержанию и ремонту мест общего пользования                                                                  многоквартирного дома Стадионная 101 г.Касли</t>
  </si>
  <si>
    <t>ОАО "КРУИИКХ" о выполненных   работах по содержанию и ремонту мест общего пользования многоквартирного дома Стадионная 103 г.Касли</t>
  </si>
  <si>
    <t>ОАО "КРУИИКХ" о выполненных   работах по содержанию и ремонту мест общего пользования многоквартирного дома Ленина 27 г.Касли</t>
  </si>
  <si>
    <t>ОАО "КРУИИКХ" о выполненных   работах по содержанию и ремонту мест общего пользования                                         многоквартирного дома Ленина 12  г.Касли</t>
  </si>
  <si>
    <t>ОАО "КРУИИКХ" о выполненных   работах по содержанию и ремонту мест общего пользования                                      многоквартирного дома Ленина 10 г.Касли</t>
  </si>
  <si>
    <t>ОАО "КРУИИКХ" о выполненных   работах по содержанию и ремонту мест общего пользования                                       многоквартирного дома Ленина 8 г.Касли</t>
  </si>
  <si>
    <t>ОАО "КРУИИКХ" о выполненных   работах по содержанию и ремонту мест общего пользования                                                                    многоквартирного дома Лесная 8 г.Касли</t>
  </si>
  <si>
    <t>ОАО "КРУИИКХ" о выполненных   работах по содержанию и ремонту мест общего пользования                                                                                многоквартирного дома Декабристов 101 г.Касли</t>
  </si>
  <si>
    <t>ОАО "КРУИИКХ" о выполненных   работах по содержанию и ремонту мест общего пользования                                                многоквартирного дома Декабристов 134 г.Касли</t>
  </si>
  <si>
    <t>ОАО "КРУИИКХ" о выполненных   работах по содержанию и ремонту мест общего пользования многоквартирного дома Декабристов 136 г.Касли</t>
  </si>
  <si>
    <t>ОАО "КРУИИКХ" о выполненных   работах по содержанию и ремонту мест общего пользования                                            многоквартирного дома Декабристов 138 г.Касли</t>
  </si>
  <si>
    <t>ОАО "КРУИИКХ" о выполненных   работах по содержанию и ремонту мест общего пользования многоквартирного дома  Лобашова 129 г.Касли</t>
  </si>
  <si>
    <t>ОАО "КРУИИКХ" о выполненных   работах по содержанию и ремонту мест общего пользования многоквартирного дома Лобашова 131 г.Касли</t>
  </si>
  <si>
    <t>ОАО "КРУИИКХ" о выполненных   работах по содержанию и ремонту мест общего пользования                                             многоквартирного дома Лобашова 134 г.Касли</t>
  </si>
  <si>
    <t>ОАО "КРУИИКХ" о выполненных   работах по содержанию и ремонту мест общего пользования                              многоквартирного дома Лобашова 136 г.Касли</t>
  </si>
  <si>
    <t>ОАО "КРУИИКХ" о выполненных   работах по содержанию и ремонту мест общего пользования                                                                               многоквартирного дома Лобашова 138 г.Касли</t>
  </si>
  <si>
    <t>ОАО "КРУИИКХ" о выполненных   работах по содержанию и ремонту мест общего пользования многоквартирного дома Лобашова 139 г.Касли</t>
  </si>
  <si>
    <t>ОАО "КРУИИКХ" о выполненных   работах по содержанию и ремонту мест общего пользования многоквартирного дома Лобашова 140 г.Касли</t>
  </si>
  <si>
    <t>ОАО "КРУИИКХ" о выполненных   работах по содержанию и ремонту мест общего пользования                                       многоквартирного дома Лобашова 142 г.Касли</t>
  </si>
  <si>
    <t>ОАО "КРУИИКХ" о выполненных   работах по содержанию и ремонту мест общего пользования многоквартирного дома Лобашова 144 г.Касли</t>
  </si>
  <si>
    <t>ОАО "КРУИИКХ" о выполненных   работах по содержанию и ремонту мест общего пользования                                            многоквартирного дома Лобашова 145 г.Касли</t>
  </si>
  <si>
    <t>ОАО "КРУИИКХ" о выполненных   работах по содержанию и ремонту мест общего пользования многоквартирного дома Лобашова 150 г.Касли</t>
  </si>
  <si>
    <t>ОАО "КРУИИКХ" о выполненных   работах по содержанию и ремонту мест общего пользования многоквартирного дома Лобашова 152 г.Касли</t>
  </si>
  <si>
    <t>ОАО "КРУИИКХ" о выполненных   работах по содержанию и ремонту мест общего пользования                                     многоквартирного дома Лобашова 156 г.Касли</t>
  </si>
  <si>
    <t>ОАО "КРУИИКХ" о выполненных   работах по содержанию и ремонту мест общего пользования                                                        многоквартирного дома Лобашова 154 г.Касли</t>
  </si>
  <si>
    <t>ОАО "КРУИИКХ" о выполненных   работах по содержанию и ремонту мест общего пользования многоквартирного дома Лобашова 158 г.Касли</t>
  </si>
  <si>
    <t>ОАО "КРУИИКХ" о выполненных   работах по содержанию и ремонту мест общего пользования                               многоквартирного дома Лобашова 158 "А" г.Касли</t>
  </si>
  <si>
    <t>ОАО "КРУИИКХ" о выполненных   работах по содержанию и ремонту мест общего пользования                                                                 многоквартирного дома Стадионная 87 г.Касли</t>
  </si>
  <si>
    <t>ОАО "КРУИИКХ" о выполненных   работах по содержанию и ремонту мест общего пользования                                             многоквартирного дома Стадионная 81 г.Касли</t>
  </si>
  <si>
    <t>ОАО "КРУИИКХ" о выполненных   работах по содержанию и ремонту мест общего пользования                                                                многоквартирного дома Стадионная 83 г.Касли</t>
  </si>
  <si>
    <t>Выполнено работ за отчетный период (руб.коп.)</t>
  </si>
  <si>
    <t>январь м-ц</t>
  </si>
  <si>
    <t>март</t>
  </si>
  <si>
    <t>май</t>
  </si>
  <si>
    <t>сентябрь</t>
  </si>
  <si>
    <t>итого</t>
  </si>
  <si>
    <t>Ремонт дверей 1 шт.</t>
  </si>
  <si>
    <t>Смена ламп 3 шт.</t>
  </si>
  <si>
    <t>Смена табличек 1 шт</t>
  </si>
  <si>
    <t xml:space="preserve">декабрь м-ц </t>
  </si>
  <si>
    <t>Осмотр сан.тех.оборудования 1,5 ч.</t>
  </si>
  <si>
    <t>Смена ламп 2 шт</t>
  </si>
  <si>
    <t>Запуск системы отопления 1 ч.,осмотр сан.тех.оборудования 0,5ч.</t>
  </si>
  <si>
    <t>Смена ламп  8 шт.</t>
  </si>
  <si>
    <t>февраль м-ц</t>
  </si>
  <si>
    <t>март м-ц</t>
  </si>
  <si>
    <t>апрель м-ц</t>
  </si>
  <si>
    <t>май м-ц</t>
  </si>
  <si>
    <t>июнь м-ц</t>
  </si>
  <si>
    <t>июль м-ц</t>
  </si>
  <si>
    <t>август м-ц</t>
  </si>
  <si>
    <t>октябрь м-ц</t>
  </si>
  <si>
    <t>ноябрь м-ц</t>
  </si>
  <si>
    <t>декабрь м-ц</t>
  </si>
  <si>
    <t>сентябрь м-ц</t>
  </si>
  <si>
    <t>Начислено населению за отчетный период (руб.коп.)</t>
  </si>
  <si>
    <t xml:space="preserve">октябрь м-ц </t>
  </si>
  <si>
    <t>Смена ламп 20 шт.</t>
  </si>
  <si>
    <t>Смена ламп 5 шт.,выключателей 1 шт.</t>
  </si>
  <si>
    <t>Смена ламп 8 шт.,патронов 1 шт.</t>
  </si>
  <si>
    <t>Смена ламп 6 шт</t>
  </si>
  <si>
    <t xml:space="preserve">апрель </t>
  </si>
  <si>
    <t>с 1.07-31.12</t>
  </si>
  <si>
    <t>с 1.01-31.06</t>
  </si>
  <si>
    <t xml:space="preserve"> </t>
  </si>
  <si>
    <t>ОАО "КРУИИКХ" о выполненных   работах по содержанию и ремонту мест общего пользования многоквартирного дома                                                              Декабристов 140 г.Касли</t>
  </si>
  <si>
    <t>за 2014 год</t>
  </si>
  <si>
    <t>Смена ламп 5 шт ,выключателей 1 шт</t>
  </si>
  <si>
    <t>Прочистка канализации 57м,смена вентилей 2 шт, перезапуск отопления 8час,смена сгонов 2 шт.</t>
  </si>
  <si>
    <t>Прочистка вентиляции 6 м</t>
  </si>
  <si>
    <t>См.труб ХВС 2м,прочистка канализации 27м,см.вентилей1шт,перезапуск отопления 27час, ревизия задвижек 1шт,выполнение заявок 4час</t>
  </si>
  <si>
    <t>Очистка кровли от снега с а\вышки 6 час</t>
  </si>
  <si>
    <t>Март</t>
  </si>
  <si>
    <t>Прочистка канализации 36м,см.труб канализации2м,см.вентилей3шт,выполнение заявок 9.5час</t>
  </si>
  <si>
    <t>Смена ламп 8 шт выключателей 2 шт патронов 1 шт</t>
  </si>
  <si>
    <t>Прочистка канализации 24 м, см.вентилей 2 шт, выполнение заявок 2 час.</t>
  </si>
  <si>
    <t>Смена ламп 5 шт, смена патронов 1</t>
  </si>
  <si>
    <t>Прочистка труб ХВС 6 час,прочистка канализации 163м</t>
  </si>
  <si>
    <t>Прочистка вентиляции 7м</t>
  </si>
  <si>
    <t>Смена ламп 6 шт, выключателей 1 шт,патронов 2 шт</t>
  </si>
  <si>
    <t>Июнь м-ц</t>
  </si>
  <si>
    <t>Прочистка канализации 164м,Смена труб канализации 2м,ревизия вентилей 1 шт,выполнение заявок 1 час</t>
  </si>
  <si>
    <t>Прочистка канализации 153 м,выполнение заявок 1 час</t>
  </si>
  <si>
    <t>Смена ламп 4шт,выключателей 1шт,ремонт эл.щита со сменой автоматов 1 шт</t>
  </si>
  <si>
    <t>Прочистка труб хвс 4час,прочистка канализации 136м,смена вентилей 2 шт,Ревизия вентилей 7 шт,задвижек 4 шт,дезинфекция подвала 4 час</t>
  </si>
  <si>
    <t>Смена ламп 5 шт,выключателей 1 шт.</t>
  </si>
  <si>
    <t>Прочистка канализации 142 м, запуск отопления на бойлер 4 час</t>
  </si>
  <si>
    <t>Дезинфекция подвала 925 м2</t>
  </si>
  <si>
    <t>Прочистка канализации 150 м,смена вентилей 8 шт,запуск отопления 5 час,ревизия вентилей 1 шт</t>
  </si>
  <si>
    <t>Смена ламп 8 шт, патронов 1 шт</t>
  </si>
  <si>
    <t>Прочистка канализации 59м,см.труб канализации 6м.выполнение заявок 4 час,</t>
  </si>
  <si>
    <t>Смена ламп 6 шт, патронов 2 шт</t>
  </si>
  <si>
    <t xml:space="preserve">Смена стекла 1,65 м2, чистка подвала 9 м3 </t>
  </si>
  <si>
    <t>Прочистка канализации 58 м,смена труб канализации 6 м,смена вентилей 4 шт,перезапуск отопления 2 час,ревизия вентилей 2 шт.</t>
  </si>
  <si>
    <t>Смена ламп 15 шт,выключателей 1 шт.</t>
  </si>
  <si>
    <t>Февраль</t>
  </si>
  <si>
    <t>Прочистка труб хвс,гвс 23 час,канализации 56 м,смена вентилей 6 шт,перезапуск отопления 23 час</t>
  </si>
  <si>
    <t>Ремонт дверного блока 1 шт</t>
  </si>
  <si>
    <t>Смена ламп 10 шт,выключателей 1 шт.</t>
  </si>
  <si>
    <t>Прочистка канализации 92м,выполнение заявок 4 час.</t>
  </si>
  <si>
    <t>Очистка кровли от снега 48 час</t>
  </si>
  <si>
    <t>Апрель</t>
  </si>
  <si>
    <t>Прочистка канализации 66 м,смена вентилей 2 шт,выполнение заявок 10 час</t>
  </si>
  <si>
    <t>Очистка кровли от снега 40 час</t>
  </si>
  <si>
    <t>Смена ламп 6 шт,выключателей 1 шт</t>
  </si>
  <si>
    <t>Май</t>
  </si>
  <si>
    <t>Прочистка канализации 102 м</t>
  </si>
  <si>
    <t>Смена ламп 6шт,выключатель 1 шт,патрон 2 шт</t>
  </si>
  <si>
    <t>Июнь</t>
  </si>
  <si>
    <t>Прочистка канализации 79 м,смена задвижек 3 шт,вентилей 1 шт.</t>
  </si>
  <si>
    <t>Скос травы 700 м2,прочистка вентиляции 12 м.</t>
  </si>
  <si>
    <t>Смена труб хвс 1м,прочистка канализации 83 м,смена задвижек3 шт.</t>
  </si>
  <si>
    <t>Смена ламп 6 шт, выключателей 1 шт,патронов 1 шт.</t>
  </si>
  <si>
    <t>Прочистка канализации 136 м,смена вентилей 6 шт,</t>
  </si>
  <si>
    <t>Ремонт кровли 8 м2</t>
  </si>
  <si>
    <t>Смена ламп 8 шт,выключателей 2 шт,патронов 1 шт</t>
  </si>
  <si>
    <t>Прочистка канализации 62 м,выполнение заявок 0.5 час,запуск бойлера 4 час</t>
  </si>
  <si>
    <t>Ремонт дверей 1 шт,дезинфекция подвала 250 м2</t>
  </si>
  <si>
    <t>Перезапуск отопления 24 час</t>
  </si>
  <si>
    <t>Ремонт дверей 1 шт, ремонт окон 1 шт.</t>
  </si>
  <si>
    <t>Смена ламп 8 шт,выключателей 1 шт,патронов 2 шт.</t>
  </si>
  <si>
    <t>Прочистка труб хвс.гвс 8 час, прочистка канализации 69 м, смена вентилей 3 шт, перезапуск отопления 6 час,выполнение заявок 0.5 час</t>
  </si>
  <si>
    <t>Смена ламп 12 шт, выключателей 2 шт</t>
  </si>
  <si>
    <t>за  2014 год</t>
  </si>
  <si>
    <t>Прочистка канализации 203 м,см.труб канализации 1,5 м,см.вентилей 1 шт,перезапуск отопления8 час,выполение заявок 1 час.</t>
  </si>
  <si>
    <t>Смена мламп 10 шт,выключателей 1шт,патронов 1 шт.</t>
  </si>
  <si>
    <t>Смена ламп 9 шт,патронов 2</t>
  </si>
  <si>
    <t>Прочистка канализации 62 м,см.труб канализации 16,5 м,перезапуск отопления 15,5 час.</t>
  </si>
  <si>
    <t>См.ламп 8шт,выключателей 1 шт,патронов 3 шт.</t>
  </si>
  <si>
    <t>Смена труб гвс 33 м,см.вентилей 36 шт,прочистка канализации 85 м,перезапуск отопления 2 час,выполнение заявок 1 час</t>
  </si>
  <si>
    <t>Смена ламп 7шт,выключателей 2шт,патронов 1 шт,ремонт эл.щитов 3 шт</t>
  </si>
  <si>
    <t>Смена труб хвс 1,5м,прочистка руб гвс 6 час,прочистка канализации 32 м,см.труб канализации 7 м.</t>
  </si>
  <si>
    <t>Ремонт эл.щита со см.автоматов 1 шт.</t>
  </si>
  <si>
    <t>июнь м-й</t>
  </si>
  <si>
    <t>Смена труб хвс 1,8 м.прочистка труб хвс 1 час,прочистка канализации 45м,ревизия вентилей 2 шт.</t>
  </si>
  <si>
    <t>Смена ламп 5шт,патронов 2 шт,ремонт эл.щита 2 шт,см.предохранителей 2 шт.</t>
  </si>
  <si>
    <t>Прочистка труб хвс 8 час,прочистка канализации 90 м,смена вентилей 1 шт,</t>
  </si>
  <si>
    <t>Смена ламп 5шт,выключателей 1 шт.</t>
  </si>
  <si>
    <t>Прочистка труб гвс 4 час,прочистка канализации 112 м,Ревизия вентилей 1 шт,задвижек 4 шт.</t>
  </si>
  <si>
    <t>Выкашивание газонов 270 м2</t>
  </si>
  <si>
    <t>Смена ламп 7шт,выключателей 1 шт,патронов 1 шт.</t>
  </si>
  <si>
    <t>Прочистка канализации 98 м,выполнение заявок 0.5 час,запуск бойлера 4 час.</t>
  </si>
  <si>
    <t>Ремонт эл.щита со сменой автоматов 1шт</t>
  </si>
  <si>
    <t>Смена труб хвс 1.5м,прочистка труб хвс 4 час,прочистка канализации 90 м,смена вентилей 4 шт,перезапуск отопления24 час,выполнение заявок 0.5 час,ревизия вентилей 7 шт,смена сгонов 2 шт,кранов 1 шт,промывка радиаторов 3 шт</t>
  </si>
  <si>
    <t>Смена ламп 10 шт,патронов 2 шт,ремонт эл.щита 1 шт,смена предохранителей 3шт</t>
  </si>
  <si>
    <t>Прочистка труб хвс 4 час,прочистка канализации 86 м,смена вентилей 1шт,перезапуск отопления 7 час,выполнение заявок 12 час,ревизия вентилей 1 шт</t>
  </si>
  <si>
    <t>Смена ламп 9 шт,патронов 1шт,ремонт эл.щита 2 шт,смена предохранителей 4шт</t>
  </si>
  <si>
    <t>Смена труб хвс 5м,прочистка труб гвс 3час, прочистка канализации 85м,смена труб канализации 2.5м,смена вентилей 2 шт перезапуск отопления4 час</t>
  </si>
  <si>
    <t>Ремонт дверей 3 шт,ремонт окон.рам 1 шт</t>
  </si>
  <si>
    <t>Смена ламп 18 шт,выключателей 1шт,патронов 3 шт</t>
  </si>
  <si>
    <t>Смена труб гвс 2.3 м,прочистка труб хвс 13 час,прочистка канализации 102 м,смена труб канализации 4 м,смена вентилей 3 шт,ревизия вентилей 2 шт,смена бойлера 4 секции</t>
  </si>
  <si>
    <t>Очистка кровли от снега с вышки 9 час</t>
  </si>
  <si>
    <t>Смена ламп 15шт,выключателей 3шт,патронов 5 шт.Ремонт эл.щита 1 шт</t>
  </si>
  <si>
    <t>Прочистка труб гвс 7.5час,прочистка канализации 115 м,смена вентилей 4 шт,</t>
  </si>
  <si>
    <t>Смена ламп 10шт,выключателей 1шт,патронов 2шт,ремонт эл.щита 1шт</t>
  </si>
  <si>
    <t>Смена труб хвс 4.8м,прочистка труб 12 час,прочистка канализации 89 м,смена труб канализации2,3м,смена вентилей 10 шт,перезапуск отопления 2час,водоотлив из подвала 20 м3</t>
  </si>
  <si>
    <t>Смена ламп 10шт,выключателей 1шт,патронов 2шт,ремонт эл.щита 1шт,см.предохр.3шт.установка насоса 1шт</t>
  </si>
  <si>
    <t>Смена патронов 2 шт,выключателей 3 шт,ламп 8 шт,рем.эл.щита 4 шт,смена насоса</t>
  </si>
  <si>
    <t>Прочистка труб гвс 14 час,прочистка канализации 116 м,выполнение заявок 1 час</t>
  </si>
  <si>
    <t>Смена ламп 8 шт,выключателей 2 шт,патронов 2 шт,ремонт эл.щита 1 шт,смена предохр 2 шт</t>
  </si>
  <si>
    <t>Смена вентилей Д-15 мм 2 шт,прочистка канализации 63м,выполнение заявок 0.5 час</t>
  </si>
  <si>
    <t>Прочистка труб хвс 12 час,прочистка канализации 101 м,смена труб канализации 11.6м смена задвижек 6 шт, выполнение заявок 0.5 час</t>
  </si>
  <si>
    <t>Смена ламп 7 шт,выключателей 2шт,патронов 2 шт</t>
  </si>
  <si>
    <t>Прочистка канализации  98 м,смена труб канализации 1.5м,смена вентилей 3 шт,прочистка труб хвс 1 час,выполнение заявок 2,5час</t>
  </si>
  <si>
    <t>Ремонт щитков 2 шт,смена ламп 10 шт,патронов 5 шт,выключателей 3 шт</t>
  </si>
  <si>
    <t>Прочистка канализации 106 м,выполнение заявок 3 час,запуск гвс4 час</t>
  </si>
  <si>
    <t>Смена ламп 12шт,патронов 3 шт,выключателей 2 шт,ремонт эл.щита 1 шт</t>
  </si>
  <si>
    <t>Смена стекла 2,4 м2,ремонт дверей 1 шт,дезинфекция подвала 650 м2</t>
  </si>
  <si>
    <t>Смена вентилей 12,сгонов 4 шт.,прочистка канализации 67 м,прочистка труб хвс 32 час,смена труб канализации 1,5 м,перезапуск отопления 36 час,выполнение заявок 4.5 час</t>
  </si>
  <si>
    <t>Смена ламп 18 шт,патронов 2 шт,выключателей 2 шт</t>
  </si>
  <si>
    <t>Чистка кровли от снега с вышки 3 час</t>
  </si>
  <si>
    <t>Смена вентилей 2 шт,,прочистка канализации 124 м,прочистка труб хвс 4 час,перезапуск отопления 6 час</t>
  </si>
  <si>
    <t xml:space="preserve">Ремонт щитков 1 шт,смена ламп 15 шт,патронов 3 шт,выключателей 2 шт, </t>
  </si>
  <si>
    <t>Ремонт дверей 4 шт</t>
  </si>
  <si>
    <t>Запланировано работ на 2015 год (руб.коп.)</t>
  </si>
  <si>
    <t>Прочистка канализации 36м,перезапуск отопления 4час,смена сгона 1 шт</t>
  </si>
  <si>
    <t>Смена ламп 12шт,выключателей 2 шт.</t>
  </si>
  <si>
    <t>Февраль м-ц</t>
  </si>
  <si>
    <t>Прочистка труб хвс 13 час,прочистка канализации76 м,перезапуск отопления 5час,выполнение заявок 6 час.</t>
  </si>
  <si>
    <t>Смена стекла 0,7 м2,очистка кровли от снега с вышки 3 час</t>
  </si>
  <si>
    <t>Смена труб хвс 16 м,прочистка канализации 42м,смена вентилей 4шт,выполнение заявок 3.5 час,смена сгонов 4 шт</t>
  </si>
  <si>
    <t>Смена ламп 5 шт,выключателей 1 шт,ремонт эл.щита 1 шт</t>
  </si>
  <si>
    <t>Прочистка канализации 28м,перезапуск отопления 2 час,выполнение заявок 2час</t>
  </si>
  <si>
    <t>Смена ламп 4 шт выключателей 1 шт</t>
  </si>
  <si>
    <t>Прочистка канализации 63м,ремонт ограждения 12 час.</t>
  </si>
  <si>
    <t>Установка качели 1 шт</t>
  </si>
  <si>
    <t>Смена труб хвс 2 м,прочистка канализации 27 м,</t>
  </si>
  <si>
    <t>Ремонт кровли 5 м2</t>
  </si>
  <si>
    <t>Смена ламп 4 шт,выключателей 1 шт</t>
  </si>
  <si>
    <t>Прочистка канализации 64 м</t>
  </si>
  <si>
    <t>Прочистка канализации 54 м,смена вентилей 1 шт,ревизия задвижек 4шт</t>
  </si>
  <si>
    <t>Выкашивание газонов 260 м2</t>
  </si>
  <si>
    <t>Смена ламп 4шт,патронов 1шт,рем.эл.щита 1шт.</t>
  </si>
  <si>
    <t>Прочистка канализации 120 м. Запуск бойлера 4 час</t>
  </si>
  <si>
    <t>Перезапуск отопления 10 час,прочистка подводки 4час,смена вентилей 3шт,прочистка канализации 64м,выполнение заявок 0.5час</t>
  </si>
  <si>
    <t>Смена ламп 9 шт</t>
  </si>
  <si>
    <t>Прочистка хвс 4час,канализации 92м,перезапуск отопления 4 час</t>
  </si>
  <si>
    <t>Смена ламп 7 шт. выключателей 1 шт.</t>
  </si>
  <si>
    <t>Прочистка канализации 111м</t>
  </si>
  <si>
    <t>Смена ламп 8 шт,потронов 2 шт.</t>
  </si>
  <si>
    <t>Смена ламп 1 шт. патронов 3шт, выключателей 1 шт</t>
  </si>
  <si>
    <t>Прочистка канализации  65 м, смена вентилей 1 шт, выполнение заявок 2 час</t>
  </si>
  <si>
    <t>Смена конвектора 2 шт,вентилей 2 шт,прочистка труб канализации 115 м</t>
  </si>
  <si>
    <t>Прочистка вент.каналов 18 м</t>
  </si>
  <si>
    <t>Рем.эл.щитов 1 шт,Смена ламп 20 шт,патронов 2 шт,выключателей 2 шт</t>
  </si>
  <si>
    <t>Ремонт эл.щитов 1 шт, смена ламп 20 шт,патронов 2шт,выключателей 2 шт.</t>
  </si>
  <si>
    <t>Прочистка труб ХВС 32 час,демонтаж и монтаж насоса 32час,прочистка канализации 108 м,выполнение заявок 8 час</t>
  </si>
  <si>
    <t>Прочистка труб ВС 4ч.смена вентилей 5 шт,прочистка канализации 45 м,</t>
  </si>
  <si>
    <t>Смена стекла 3,2м2</t>
  </si>
  <si>
    <t>Рем.эл.щитов 2 шт,Смена ламп 7шт,патронов 1шт,предохранителей 8шт</t>
  </si>
  <si>
    <t>Перезапуск отопления 4.5 ч.</t>
  </si>
  <si>
    <t>Прочистка трубопроводов внутренней канализации 53 м</t>
  </si>
  <si>
    <t>Прочистка канализации 14 м,смена вентилей 2 шт,перезапуск отопления 1 ч.</t>
  </si>
  <si>
    <t>Прочистка трубопроводов внутренней канализации 52 м</t>
  </si>
  <si>
    <t>Прочистка канализации 15 м, обработка подвала 4 час.</t>
  </si>
  <si>
    <t>Прочистка канализации 34 м,ревизия задвижек 2 шт,смена сгонов 2 шт,обработка подвала  6 час</t>
  </si>
  <si>
    <t>Ревизия вентилей 3 шт</t>
  </si>
  <si>
    <t>Прочистка канализации 142 м,запуск отопления на бойлер 2 час.</t>
  </si>
  <si>
    <t>Дезинфекция подвала 400 м2</t>
  </si>
  <si>
    <t>Смена вентилей 1 шт,перезапуск отопления  52 час.</t>
  </si>
  <si>
    <t>Прочистка канализации 102 м.,смена труб ВС 2м,прочистка труб ВС 8час,водоотлив из подвала 2,4 м3</t>
  </si>
  <si>
    <t>Прочистка канализации 70 м.,запуск системы отопления  36 ч.,водоотвив из подвала 150 м3</t>
  </si>
  <si>
    <t>Прочистка труб внутренней канализации 28 м</t>
  </si>
  <si>
    <t>Перезапуск отопления 8 час</t>
  </si>
  <si>
    <t>Прочистка труб внутренней канализации 47м,смена труб ВС 1 м,перезапуск отопления 3 ч.смена сгонов 2 шт.</t>
  </si>
  <si>
    <t>Прочистка труб канализации 11 м.перезапуск отопления 5 час.</t>
  </si>
  <si>
    <t>Ремонт эл.щита 1 шт</t>
  </si>
  <si>
    <t>Прочистка труб ВС 6 час,прочистка канализации 98 м</t>
  </si>
  <si>
    <t>Прочистка канализации 28 м,дезинфекция подвала 4 час.</t>
  </si>
  <si>
    <t>Осмотр конструктивных элементов 4 час</t>
  </si>
  <si>
    <t>Прочистка канализации 8 м,ревизия задвижек 6 шт</t>
  </si>
  <si>
    <t>Прочистка канализации 35 м. смена задвижек 1 шт,ревизия вентилей 4 шт</t>
  </si>
  <si>
    <t>Смена стекла 0,4 м2, дезинфекция подвала 400 м2</t>
  </si>
  <si>
    <t xml:space="preserve">Ремонт эл.щита 1 шт, </t>
  </si>
  <si>
    <t>Смена труб ХВС 2,5м,прочистка труб ВС 4 час, прочистка канализации 25 м,перезапуск отопления 52 час,водоотлив из подвала 5 м3</t>
  </si>
  <si>
    <t>Ремонт эл.щита 1 шт, смена провода 7 м</t>
  </si>
  <si>
    <t>Утепление окон подвала 1м2</t>
  </si>
  <si>
    <t>Смена ламп  5 шт.патронов 1 шт</t>
  </si>
  <si>
    <t>Прочистка канализации 96 м,смена вентилей 1 шт,перезапуск отопления 42 час,выполнение заявок 0,5 час</t>
  </si>
  <si>
    <t>Запланировано работ на 2015  год (руб.коп.)</t>
  </si>
  <si>
    <t>Смена ламп 8 шт,патронов 1 шт</t>
  </si>
  <si>
    <t>Прочистка канализации 36 м.смена канализации 5 м,смена вентилей 2 шт,выполнение заявок 1 час,прочистка труб ВС8 час,перезапуск отопл.75 час</t>
  </si>
  <si>
    <t xml:space="preserve">Прочистка канализации 82 м,перезапуск отопления 14.5 час        </t>
  </si>
  <si>
    <t>Смена ламп 7 шт,патронов 1 шт</t>
  </si>
  <si>
    <t>Прочистка канализации 113 м,перезапуск отопления 2 час,выполнение заявок 4 час</t>
  </si>
  <si>
    <t>Смена ламп 8 шт,патронов 1 шт,выключателей 1 шт</t>
  </si>
  <si>
    <t>Прочистка канализации 78 м,</t>
  </si>
  <si>
    <t>Смена выключателей  1 шт.,ламп 5 шт</t>
  </si>
  <si>
    <t>Прочистка труб ВС 8 час,прочистка канализации 84 м</t>
  </si>
  <si>
    <t xml:space="preserve">Ремонт эл.щита 2 шт </t>
  </si>
  <si>
    <t>Прочистка труб ВС 8 час,прочистка канализации 54 м,смена вентилей 6 шт</t>
  </si>
  <si>
    <t>Смена ламп 4 шт.,патронов 1 шт,ремонт эл.щита 2 шт</t>
  </si>
  <si>
    <t xml:space="preserve">Смена вентилей 2 шт.,прочистка канализации 36 м,смена труб канализации 4,5м,ревизия вентилей 3 шт,выполнение заявок 6,5 час          </t>
  </si>
  <si>
    <t>Смена ламп 5 шт,патронов 1 шт,ремонт эл.щита 1 шт</t>
  </si>
  <si>
    <t>Прочистка канализации 63 м,запуск отопления на бойлер 4 час</t>
  </si>
  <si>
    <t xml:space="preserve">Дезинфекция  подвала  700 м2 </t>
  </si>
  <si>
    <t>Прочистка канализации 113 м,прочистка труб ВС 4 час ,смена труб ВС 3 м,перезапуск отопления 48час,водоотлив из подвала  6 м3</t>
  </si>
  <si>
    <t>Смена ламп 7 шт,выключателей 1 шт.</t>
  </si>
  <si>
    <t>Прочистка труб ВС 4 час, прочистка канализации 65 м,смена вентилей 4 шт,перезапуск отопления 20 час</t>
  </si>
  <si>
    <t>Смена ламп  шт,выключателей 1 шт</t>
  </si>
  <si>
    <t>Прочистка канализации 97 м.смена вентилей 2 шт,выполнение заявок 1 час</t>
  </si>
  <si>
    <t>Смена выключателей  1 шт.,смена ламп 8 шт,патронов 2 шт</t>
  </si>
  <si>
    <t>Прочистка  канализации 21 м.,прочистка труб ВС 1 час,смена вентилей 2 шт,выполнение заявок 1 час</t>
  </si>
  <si>
    <t>Смена ламп 5 шт,выключателей 1 шт</t>
  </si>
  <si>
    <t>Смена труб канализации 2 м.,Смена вентилей 3 шт,перезапуск отопления 123 час</t>
  </si>
  <si>
    <t>Прочистка  труб канализации 139 м.перезапуск отопления 2 час</t>
  </si>
  <si>
    <t>Прочистка труб канализации 52 м.</t>
  </si>
  <si>
    <t>Смена труб ВС 0,5 м,прочистка труб ВС 16 час,прочистка канализации 76 м,смена труб канализации 1,5м,смена задвижек 1 шт</t>
  </si>
  <si>
    <t>Прочистка канализации 52 м,смена труб канализации 3,выполнение заявок 2,5 час,ревизия задвижек 8 шт</t>
  </si>
  <si>
    <t>Ремонт эл.щитов 1шт,автомат.выключателей 4 шт</t>
  </si>
  <si>
    <t>Смена ламп 3 шт,выключателей 1 шт</t>
  </si>
  <si>
    <t>Прочистка канализации 76 м.,выполнение заявок 0.5 час,запуск отопления на бойлер 4 час</t>
  </si>
  <si>
    <t>Прочистка труб ХВС и ГВС 16 час,прочистка канализации 52 м,смена труб канализации 2 м,смена вентилей 3 шт,запуск отопления на бойлер 38 час</t>
  </si>
  <si>
    <t>Ремонт оконных переплетов 1 шт,ремонт швов 2 м,ремонт песочницы 1 шт</t>
  </si>
  <si>
    <t>Смена задвижек 1 шт,прочистка труб ВС 5 час,прочистка канализации68 м,перезапуск отопления 3час</t>
  </si>
  <si>
    <t>Смена ламп 2 шт.,выключателей 2 шт.,патронов 2 шт.</t>
  </si>
  <si>
    <t>Прочистка канализации 126 м.,прочистка труб ВС 12 час,смена вентилей 2 шт</t>
  </si>
  <si>
    <t>Прочистка трубопроводов 84 м,прочистка труб ВС 2 час,смена труб ВС 1 м,перезапуск отопления 4 час,</t>
  </si>
  <si>
    <t>Прочистка канализации 35 м,смена вентилей 1 шт,ревизия вентилей 1 шт,перезапуск отопления 55 час</t>
  </si>
  <si>
    <t>Смена труб ВС 1 м,прочистка канализации 62м,смена труб канализации 4,5 м,смена вентилей 2 шт,перезапуск отопления 8час,выполнение заявок 4,5ч</t>
  </si>
  <si>
    <t>Смена ламп 8 шт,патронов 2 шт</t>
  </si>
  <si>
    <t>Прочистка труб ВС 4 час,смена труб канализации 8,3м,смена вентилей 1 шт,перезапуск отопления 2 час</t>
  </si>
  <si>
    <t>Прочистка труб ВС 6 час,прочистка канализации 76 м,смена труб канализации 2,5м,смена вентилей 4 шт,</t>
  </si>
  <si>
    <t>Смена ламп 4 шт,патронов 1 шт</t>
  </si>
  <si>
    <t>Прочистка канализации 85 м,дезинфекция подвала 4 час</t>
  </si>
  <si>
    <t>Прочистка канализации 46 м.,прочистка труб ВС 12 час,смена труб канализации3,3 м,смена вентилей 2 м,ревизия задвижек 4 шт, чистка колодцев 6 час</t>
  </si>
  <si>
    <t xml:space="preserve">Прочистка труб канализации 52 м,выполнение заявок 1,5час,чистка колодцев  6 час </t>
  </si>
  <si>
    <t>Ремонт отмостки 14 м3</t>
  </si>
  <si>
    <t>Смена ламп 5 шт,патронов 1 шт</t>
  </si>
  <si>
    <t>Прочистка канализации 104 м,запуск отопления на бойлер 4час</t>
  </si>
  <si>
    <t>Ремонт фасада 120 м2,ступеней 5 шт,водосточных труб 2,5м</t>
  </si>
  <si>
    <t>Прочистка канализации 102 м,перезапуск отопления 16 м</t>
  </si>
  <si>
    <t>Смена ламп 9 шт.,патронов 1 шт,</t>
  </si>
  <si>
    <t>Очистка кровли от наледи с вышки</t>
  </si>
  <si>
    <t>Смена стекла 0,9м2,ремонт водосточных труб 5м</t>
  </si>
  <si>
    <t>Смена ламп 7 шт</t>
  </si>
  <si>
    <t>Прочистка канализации 112 м.,,смена вентилей 2 шт.,выполнение заявок 2 час</t>
  </si>
  <si>
    <t>Смена ламп  12 шт.,смена выключателей 2 шт.,патронов 2 шт,</t>
  </si>
  <si>
    <t>Смена стекла 1,5 м2</t>
  </si>
  <si>
    <t>Смена ламп 7 шт.патронов 1 шт</t>
  </si>
  <si>
    <t>Ремонт окон на чердаке 1 шт.</t>
  </si>
  <si>
    <t>Перезапуск отопления 4 час,ревизия задвижек 2шт</t>
  </si>
  <si>
    <t>Прочистка труб ВС 10 час,перезапуск отопления 32 час</t>
  </si>
  <si>
    <t>Смена ламп 8 шт,выключателей 2 шт</t>
  </si>
  <si>
    <t>Выполнение заявок 0,5 час</t>
  </si>
  <si>
    <t>Прочистка канализации 14 м,перезапуск отопления 2 час</t>
  </si>
  <si>
    <t xml:space="preserve">Ремонт скамеек 1 шт </t>
  </si>
  <si>
    <t>Смена ламп 5 шт,выключателей 1шт</t>
  </si>
  <si>
    <t>Прочистка канализации 70м,смена труб ВС 2 м,смена вентилей 2 шт</t>
  </si>
  <si>
    <t>Прочистка канализации 36 м,ревизия задвижек 3 шт</t>
  </si>
  <si>
    <t>Смена ламп 4 шт.,патронов 1 шт.</t>
  </si>
  <si>
    <t>Ревизия  вентилей 4 шт,прочистка канализации 43 м.</t>
  </si>
  <si>
    <t>Прочистка канализации 67 м.,запуск отопления на бойлер 4 час</t>
  </si>
  <si>
    <t>Ремонт фасада</t>
  </si>
  <si>
    <t>Ремонт эл.щита 1шт.со сменой авт.выключат.3 шт</t>
  </si>
  <si>
    <t>Прочистка канализации  43 м,перезапуск отопления 48 час</t>
  </si>
  <si>
    <t>Прочистка труб ХВС,ГВС  8 час, прочистка канализации 37м</t>
  </si>
  <si>
    <t>Смена ламп 5 шт. патронов 1 шт</t>
  </si>
  <si>
    <t>выполнение заявок  2 час</t>
  </si>
  <si>
    <t>Прочистка трубопроводов внутренней канализации 72 м</t>
  </si>
  <si>
    <t>Смена предохранителей 1 шт,смена провода 1 м</t>
  </si>
  <si>
    <t>Прочистка трубопроводов ВС 4 час</t>
  </si>
  <si>
    <t>Дезинфекция подвала 363 м2</t>
  </si>
  <si>
    <t>Ремонт эл.щита со сменой авт.выкл 1шт</t>
  </si>
  <si>
    <t>Дезинфекция подвала  64 час</t>
  </si>
  <si>
    <t>Прочистка трубопроводов внутренней канализации 34 м,перезапуск отопления 13 час,выполнение заявок 8 час</t>
  </si>
  <si>
    <t>Смена предохранителя 1 шт,смена провода 1 м</t>
  </si>
  <si>
    <t>Апрель м-ц</t>
  </si>
  <si>
    <t>Прочистка труб ВС 6 час,перезапуск отопления 19 час</t>
  </si>
  <si>
    <t>Дезинфекция подвала 30 час</t>
  </si>
  <si>
    <t>Смена эл.проводки 3 м</t>
  </si>
  <si>
    <t>Прочистка труб канализации 89 м</t>
  </si>
  <si>
    <t>Прочистка канализации 44 м</t>
  </si>
  <si>
    <t>Ревизия задвижек 4 шт</t>
  </si>
  <si>
    <t>Прочистка труб ВС 4 час</t>
  </si>
  <si>
    <t>Ремонт щита 1 шт.,смена ламп  4 шт.</t>
  </si>
  <si>
    <t>Прочистка канализации 82 м.,запуск отопления на бойлер 1 час</t>
  </si>
  <si>
    <t>Дезинфекция подвала 400 м</t>
  </si>
  <si>
    <t>Прочистка канализации 26 м.,перезапуск отопления 25 час</t>
  </si>
  <si>
    <t>Утепление окон подвала 0,3м2</t>
  </si>
  <si>
    <t>Смена ламп 4 шт</t>
  </si>
  <si>
    <t>Прочистка канализации 75 м.</t>
  </si>
  <si>
    <t>Смена ламп 4 шт.,патронов 1шт,провода 4 м</t>
  </si>
  <si>
    <t xml:space="preserve">Прочистка канализации 65 м.,прочистка труб ХВС,ГВС 4 час,перезапуск отопления 20 час </t>
  </si>
  <si>
    <t>Прочистка  трубопроводов канализации  60 м.прочистка труб ВС 6 час,смена вентилей 2шт,перезапуск отопления 12 час,ревизия вентилей 3шт</t>
  </si>
  <si>
    <t>Смена труб ВС 1 м,прочистка канализации 35 м,смена вентилей 2 шт,перезапуск отопления 34 час,смена труб отопления 3 м</t>
  </si>
  <si>
    <t>Смена ламп 15 шт,выключателей 2 шт,патронов 1 шт</t>
  </si>
  <si>
    <t>Прочистка труб ВС 21 час,прочистка канализации 52 м,смена вентилей2 шт,ревизия вентилей 2 шт</t>
  </si>
  <si>
    <t>Ремонт эл.щита со сменой авт.выкл 1 шт</t>
  </si>
  <si>
    <t>Прочистка канализации 70 м,перезапуск отопления</t>
  </si>
  <si>
    <t>Прочистка канализации 88 м,ревизия венилей 1 шт,выполнение заявок 1 час</t>
  </si>
  <si>
    <t>Прочистка канализации 81 м,смена задвижек 2 шт,смена вентилей 1 шт,ревизия вентилей 1 шт,осмотр инженерных сетей  час</t>
  </si>
  <si>
    <t>Прочистка канализации 94 м.,смена вентилей 2 шт</t>
  </si>
  <si>
    <t>Смена ламп 10 шт.,выключателей 2 шт,патронов 2 шт</t>
  </si>
  <si>
    <t>Ремонт скамейки 2 шт,горки 1 шт,проверка вентиляции 1 час</t>
  </si>
  <si>
    <t>Смена ламп 8 шт,выключателей 2 шт,патронов 2 шт</t>
  </si>
  <si>
    <t>Прочистка канализации 84 м.,смена задвижек 2 шт,ревизия задвижек 4 шт,выполнение заявок 4 час</t>
  </si>
  <si>
    <t>Прочистка канализации 87 м.,выполнение заявок 1 час,запуск отопления на бойлер 4 час</t>
  </si>
  <si>
    <t>Смена стекла 0,3м2,ремонт дверей 1 шт,проверка вентиляции 2 час</t>
  </si>
  <si>
    <t>Прочистка канализации 3 м,ревизия вентилей 2 шт.перезапуск отопления 84 час,смена вентилей 2 шт,выполнение заявок 5 час</t>
  </si>
  <si>
    <t>Ремонт дверей 2 шт, навеска замков 4 шт</t>
  </si>
  <si>
    <t>Прочистка канализации 49 м,прочистка труб ВС 4 час</t>
  </si>
  <si>
    <t>Ремонт дверей 1 шт,очистка подвала 8 м3</t>
  </si>
  <si>
    <t>Смена ламп 1 шт,патронов 2 шт,выключателей 2 шт,</t>
  </si>
  <si>
    <t>Прочистка канализации 83 м,,смена вентилей 7 шт.,,прочистка труб ХВС и ГВС 12,5 ч.</t>
  </si>
  <si>
    <t xml:space="preserve">Смена ламп 12 шт.,выключателей 1 шт.,патронов 2 шт. </t>
  </si>
  <si>
    <t>за 2014год</t>
  </si>
  <si>
    <t>Смена ламп 23 шт.,выключ. 2 шт.,патронов 4 шт.ремонт эл.щита 2 шт</t>
  </si>
  <si>
    <t>Прочистка  трубопроводов канализации 347 м.,смена труб ВС 2,5м,смена труб канализации 18 м,прочистка труб ВС 2 час,смена вентилей ,сгонов 2 шт,перезапуск отопления 102 час,ревизия вентилей 2 шт,выполнение заявок 3 час</t>
  </si>
  <si>
    <t>Прочистка вентиляции 12 м</t>
  </si>
  <si>
    <t>Смена ламп 22 шт.,,патронов 4 шт.ремонт эл.щита 1 шт</t>
  </si>
  <si>
    <t>Прочистка трубопроводов канализации 226 м.,выполнение заявок 1,5 час.</t>
  </si>
  <si>
    <t>Прочистка трубопроводов канализации 293 м.,перезапуск отопления 2 час,выполнение заявок 8 час,дезинфекция подвала 5 час</t>
  </si>
  <si>
    <t>Смена стекла 0,9 м2,ремонт вентканалов на тех.этаже 38 м2</t>
  </si>
  <si>
    <t>Смена ламп 15 шт,выключателей 3 шт,патронов 5 шт,ремонт эл.щита 2 шт</t>
  </si>
  <si>
    <t>Смена патронов 5 шт.,ламп 18 шт.ремонт эл.щита со сменой авт.выключателей 1 шт</t>
  </si>
  <si>
    <t>Прочистка канализации 574 м,смена труб канализации 2 м,прочистка труб ВС 8 час,ревизия вентилей 56,чистка колодцев 16 час,ремонт метал.ограждения газона 12 час</t>
  </si>
  <si>
    <t>Прочистка канализации 313 м,выполнение заявок 1,5 час</t>
  </si>
  <si>
    <t>Ремонт подъезда № 2, выкашивание газона 2000м2</t>
  </si>
  <si>
    <t>Смена ламп 18 шт, патронов 2 шт</t>
  </si>
  <si>
    <t>Прочистка канализации 400м.,смена вентилей 4 шт.,водоотлив из подвала 6 м3,прочистка труб ВС 4 час</t>
  </si>
  <si>
    <t>Смена ламп 15шт.,патронов 4 шт.</t>
  </si>
  <si>
    <t>Ремонт подъезда № 2, ( окончание )</t>
  </si>
  <si>
    <t>Прочистка канализации 268 м., смена труб ВС 1 м,смена труб канализации 2 м,смена вентилей 5 шт,ревизия вентилей 4 шт,выполнение заявок 3 час</t>
  </si>
  <si>
    <t>Смена ламп 20 шт.,патронов 4 шт.,</t>
  </si>
  <si>
    <t>Ремонт подъезда № 4</t>
  </si>
  <si>
    <t>Прочистка канализации 314 м,выполнение заявок 1 час,запуск отопления на бойлер 4 час</t>
  </si>
  <si>
    <t>Смена ламп 12 шт.,патронов 1 шт .,ремонт эл.щита 2 шт со сменой авт.выключателей</t>
  </si>
  <si>
    <t>Выкашивание газона 1700м2</t>
  </si>
  <si>
    <t>Прочистка канализации 238 м.,смена вентилей 3 шт,перезапуск отопления 168час,смена сгонов 2 шт,установка регистров 2 шт</t>
  </si>
  <si>
    <t>Смена ламп 20 шт.,выключателей 2 шт.,патронов 4 шт.,</t>
  </si>
  <si>
    <t>Прочистка канализации 188 м.,ремонт труб канализации 2 м.,смена вентилей 51 шт,перезапуск отопления24 час</t>
  </si>
  <si>
    <t>Смена ламп 25 шт.,патронов 5 шт.,ремонт щита  1 шт со сменой авт.выключателей</t>
  </si>
  <si>
    <t>Ремонт подъезда № 5</t>
  </si>
  <si>
    <t>Прочистка канализации 148 м.,запуск системы отопления 48 ч.,смена вентилей 10 шт.перезапуск состемы ВС 16час,отопления 48 час,ревизия вентилей 2 шт,водоотлив из подвала 6</t>
  </si>
  <si>
    <t>Смена ламп 25 шт.,патронов 5 шт.,ремонт эл.щитков 1 шт.</t>
  </si>
  <si>
    <t>Ремонт подъезда № 6</t>
  </si>
  <si>
    <t>Смена ламп 25 шт., патронов 5 шт.ремонт эл.щита со сменой автоматов</t>
  </si>
  <si>
    <t>Прочистка вент.каналов 22 м</t>
  </si>
  <si>
    <t>Прочистка  трубопроводов канализации 327 м.,смена венталей 2 шт,перезапуск опопления 110 час,прочистка труб ВС 3 час,ревизия вентилей 3 шт,выполнение заявок 2,5 час</t>
  </si>
  <si>
    <t>Прочистка  труб канализации 172 м.,перезапуск системы ВС 10 час,смена вентилей 8 шт,перезапуск отопления160 час,ревизия вентилей 4 шт</t>
  </si>
  <si>
    <t>Смена ламп 20 шт,выключателей 2 шт,патронов 3 шт</t>
  </si>
  <si>
    <t>Ремонт вентиляционных шахт 70 м2</t>
  </si>
  <si>
    <t>Прочистка труб ВС 5 час,прочистка канализации 215 м,смена вентилей,сгонов 2 шт,перезапуск отопления 60 час,выполнение заявок 7 час</t>
  </si>
  <si>
    <t>Смена патронов 4 шт.,ремонт эл.щитов 3 шт.смена ламп 18 шт</t>
  </si>
  <si>
    <t>Прочистка вентиляционных каналов 12 м</t>
  </si>
  <si>
    <t>Смена вентилей Д-20 мм. 3 шт,Прочистка канализации 318м,смена труб ВС 1,6 м,выполение заявок 2,5 ч,прочистка колодцев 16 час</t>
  </si>
  <si>
    <t>Смена патронов 3 шт. ламп 12,ремонт эл.щита 3шт со сменой авт.выключателей 12 шт,</t>
  </si>
  <si>
    <t>Прочистка труб  ХВС,ГВС 4 час,прочистка канализации 324 м,смена вентилей10 шт,выполение заявок 1 час</t>
  </si>
  <si>
    <t>Выкашивание газонов 2000 м</t>
  </si>
  <si>
    <t>Смена ламп 12шт,патронов 2 шт,ремонт эл.автоматов 2шт со сменой авт.выключателей8 шт</t>
  </si>
  <si>
    <t xml:space="preserve">  Прочистка канализации 319 м.,смена вентилей,сгонов 3 шт., шт.,прочистка труб ВС 7 час,выполнение заявок 4 час</t>
  </si>
  <si>
    <t>Смена ламп 1 шт.,патронов 3 шт.ремонт эл.щита 1шт со сменой авт.выключателей 3 шт</t>
  </si>
  <si>
    <t>Прочистка канализации 312 м.,смена вентилей,сгонов 1 шт.,выполнение заявок 1 шт</t>
  </si>
  <si>
    <t>Ремонт скамеек 2 шт</t>
  </si>
  <si>
    <t>Смена ламп 18 шт,патронов 3 шт</t>
  </si>
  <si>
    <t>Прочистка канализации 398 м ,выполнение заявок 0,5 час,запуск отопления на бойлер 4 час</t>
  </si>
  <si>
    <t>Смена ламп 9  шт.,</t>
  </si>
  <si>
    <t>Ремонт межпанельных швов 57 м,дезинфекция подвала 1700 м2</t>
  </si>
  <si>
    <t>Прочистка канализации 215 м.,смена вентилей,сгонов 12 шт.,ремонт труб ВС 3 м,прочистка труб ВС 54час,перезапуск отопления216 час,ревизия вентилей 1 шт</t>
  </si>
  <si>
    <t>Смена ламп 18 шт.,патронов 5 шт.ремонт эл.щита со сменой авт.выключателей 1 шт</t>
  </si>
  <si>
    <t>Прочистка канализации 170 м.,смена вентилей,сгонов 88 шт.,ремонт труб канализации 3 м.прочистка труб ВС 4ч,перезапуск отопления24 ч,ревизия вентилей 5 шт</t>
  </si>
  <si>
    <t>Смена ламп 15 шт.,патронов 4 шт.,</t>
  </si>
  <si>
    <t>Ремонт кровли (свесы ) 6 м,ремонт дверей 1 шт</t>
  </si>
  <si>
    <t>Прочистка канализации 148 м.,ревизия арматуры 1 шт.,запуск системы отопления 44 ч,прочистка ХВС и ГВС8 ч,смена вентилей 21 шт,выполнение заявок 1,5 ч</t>
  </si>
  <si>
    <t>Смена ламп 15 шт., патронов 4 шт.,</t>
  </si>
  <si>
    <t>Герматизация межпанельных швов 1000 м,ремонт оконных переплетов 1 шт</t>
  </si>
  <si>
    <t>за  2014 год.</t>
  </si>
  <si>
    <t>Смена ламп 20 шт.,смена патронов 4 шт.ремонт эл.щита 1 шт</t>
  </si>
  <si>
    <t>Прочистка  трубопроводов канализации 190 м.прочистка труб ВС 3 час,перезапуск отопления 36 час,ревизия вентилей 2 шт</t>
  </si>
  <si>
    <t>Прочистка и перезапус ВС14 час,смена труб ВС 8 м,смена вентилей 1шт,перезапуск отопления 36час,смена труб отопления 8 м</t>
  </si>
  <si>
    <t>Рем. дверей 2шт,прочистка вентиляции 162 м</t>
  </si>
  <si>
    <t>Смена ламп 2 шт,патронов 4 шт,ремонт эл.щита сосменой авт.выключателей 2 шт</t>
  </si>
  <si>
    <t>Смена патронов 5 шт.,ремонт щита 3 шт.со сменой авт.выключателей2 шт</t>
  </si>
  <si>
    <t>Прочистка канализации 156 м,смена труб канализации 2 м,перезапуск отопления 24 час</t>
  </si>
  <si>
    <t>Смена трубопроводов канализации 334 м.,перезапуск отопления 2 час,дезанфекция подвала 5,5 час</t>
  </si>
  <si>
    <t>Ремонт вентиляционных каналов 44 м2</t>
  </si>
  <si>
    <t>Смена ламп 20 шт,патронов  шт,ремонт щита 1 шт</t>
  </si>
  <si>
    <t>Смена патронов 4 шт.,ламп 15 шт</t>
  </si>
  <si>
    <t>Смена трубопров.канализации 372 м.прочистка колодцев 16 час,выполнение заявок  6 час</t>
  </si>
  <si>
    <t>Прочистка вентиляции 1 час</t>
  </si>
  <si>
    <t>Смена вентилей и сгонов  2 шт.,прочистка  трубопроводов канализации 348 м.,ревизия вентилей 104 шт,дезинфекция подвала 9 час</t>
  </si>
  <si>
    <t>Выкашивание газовов 1100 м2</t>
  </si>
  <si>
    <t>Смена ламп 15 шт,патронов 3 шт,ремонт эл.щита 2 шт со сменой авт.выкл. шт</t>
  </si>
  <si>
    <t>Прочистка труб канализации 307 м.,смена вентилей 10 шт.,ревизия арматуры 1 шт.</t>
  </si>
  <si>
    <t>Смена ламп 18 шт.,патронов 3шт.,ремонт щитков 1 шт.,</t>
  </si>
  <si>
    <t>Прочистка канализации 293 м.,ревизия арматуры 2 шт.,смена вентилей 2 шт,выполнение заявок 1,5час</t>
  </si>
  <si>
    <t>Смена ламп 15 шт.,ремонт эл.щитов 7 шт со сменой авт.выключателей 16 шт</t>
  </si>
  <si>
    <t>Прочистка канализации 359 м.,запуск отопления на бойлер 4 час</t>
  </si>
  <si>
    <t>Смена ламп 19 шт.,патронов 2 шт.,ремонт эл.щитов 2 шт со сменой авт.выключателей 2 шт</t>
  </si>
  <si>
    <t>Дезинфекция подвала 1700 м2</t>
  </si>
  <si>
    <t>Прочистка канализации 151, м.,перезапуск и прочистка ВС 16 час,смена вентилей 5 штперезапуск отопления 105 час,ревизия вентилей 3 шт,</t>
  </si>
  <si>
    <t xml:space="preserve">Смена ламп 15 шт.,патронов 4 шт.,ремонт щитков 1 штсо сменой авт.выключателей 2 шт. </t>
  </si>
  <si>
    <t>Прочистка  труб канализации 158 м.,смена труб ВС 24 м,смена задвижек 12 шт,смена вентилей 80 шт,перезапуск отопления 32 час,ревизия вентилей 5 шт</t>
  </si>
  <si>
    <t>Смена ламп 20 шт.,патронов 3 шт.,ремонт эл.щита со сменой авт.выкл. 1 шт.</t>
  </si>
  <si>
    <t>Прочистка канализации 135 м.,перезапуск системы отопления 48 ч.,прочистка ХВС и ГВС 6 ч.смена вентилей 12 шт,выполнение заявок 6 час</t>
  </si>
  <si>
    <t>Смена ламп 18 шт.,патронов 3 шт.</t>
  </si>
  <si>
    <t>Смена вентилей ,сгонов 1 шт,выполнение заявок 1 час,ремонт радиаторов 1 шт</t>
  </si>
  <si>
    <t>Смена вентилей 1 шт,выполнение заявок  0,5 час</t>
  </si>
  <si>
    <t>выполнение заявок 1 час</t>
  </si>
  <si>
    <t>август  м-ц</t>
  </si>
  <si>
    <t>выполнение заявок 0,5 час</t>
  </si>
  <si>
    <t>Запуск отопления на бойлер 0,5 час</t>
  </si>
  <si>
    <t xml:space="preserve"> Перезапуск отопления  6 час</t>
  </si>
  <si>
    <t>Смена стекла 0,4 м2, ремонт дверей 1 шт</t>
  </si>
  <si>
    <t>Смена стекла 1 м2,ремонт пола 3 м2</t>
  </si>
  <si>
    <t>Прочистка канализации 65 м,перезапуск отопления 24 час,выполнение заявок 4 час,ревизия вентилей 3 шт</t>
  </si>
  <si>
    <t>Смена ламп 9 шт,выключателей 1 шт</t>
  </si>
  <si>
    <t>Прочистка канализации  110 м,выполнение заявок 2,5 час</t>
  </si>
  <si>
    <t>Смена ламп 8 шт,ремонт эл.щита 1 шт со сменой авт.выключателей 2 шт</t>
  </si>
  <si>
    <t>Март м-ц</t>
  </si>
  <si>
    <t>Прочистка канализации 130 м,перезапуск отопления 5 час,ремонт бойлера 54 час</t>
  </si>
  <si>
    <t>Прочистка канализации 87 м,перезапуск отопления 2 час</t>
  </si>
  <si>
    <t>Прочистка канализации 93 м ,ремонт ограждений 18 час</t>
  </si>
  <si>
    <t>Смена ламп 6 шт,выключателей 2 шт,патронов 1 шт</t>
  </si>
  <si>
    <t>Прочистка канализации 73 м,выполнение заявок 0,5 час</t>
  </si>
  <si>
    <t>Выкашивание газонов 700 м2</t>
  </si>
  <si>
    <t>Прочистка канализации 62,м,смена задвижек 1 шт,ревизия задвижек 2 шт</t>
  </si>
  <si>
    <t>Смена ламп 6 шт,выключателей 1 шт,патронов 1 шт</t>
  </si>
  <si>
    <t>Прочистка канализации 65 м,смена вентилей 1 шт,выполнение заявок 0,5 час</t>
  </si>
  <si>
    <t>Смена ламп 7 шт,выключателей 1 шт,ремонт эл.щита 2 шт со сменой авт.выключателей 4 шт</t>
  </si>
  <si>
    <t>Выполнение заявок 1  час,прочистка канализации 134 м,запуск отопления на бойлер 4 час</t>
  </si>
  <si>
    <t>Ремонт кровли 1 м2,ремонт межпанельных швов 32 м</t>
  </si>
  <si>
    <t>Перезапуск отопления 36 час,смена вентилей 2 шт,прочистка канализации 68 м,перезапуск системы ВС 18 час</t>
  </si>
  <si>
    <t>Смена ламп 10 час,выключателей 1 шт,патронов 3 шт</t>
  </si>
  <si>
    <t>Прочистка канализации 45 м,смена вентилей 1 шт,выполнение заявок 2 час</t>
  </si>
  <si>
    <t>Смена ламп 8 шт,выключателей 1 шт,патронов 1 шт</t>
  </si>
  <si>
    <t>Прочистка  труб ХВС и ГВС 8 час.,смена вентилей 8 шт.,прочистка канализации 131 м.,перезапуск отопления 8 час.,ревизия вентилей 1 шт.</t>
  </si>
  <si>
    <t>Смена ламп 12 шт.,патронов 1 шт.ремонт эл.щита 1 шт со сменой авт.выключателей 2 шт</t>
  </si>
  <si>
    <t>Смена ламп 2 шт,патронов 1 шт,провода 8 м</t>
  </si>
  <si>
    <t>Прочистка трубопроводов канализации 70 м,смена труб ВС 3 м,смена вентилей 2 шт,перезапуск отопления 2 час,ревизия вентилей 3 шт,выполнение заявок 0,5 час</t>
  </si>
  <si>
    <t>Прочистка канализации 20 м,прочистка труб ВС 4 час</t>
  </si>
  <si>
    <t>Смена ламп 10 шт,выключателей 1 шт</t>
  </si>
  <si>
    <t>Прочистка канализации 134 м</t>
  </si>
  <si>
    <t>Перезапуск отопления 3 час,выполнение заявок 0,5 час</t>
  </si>
  <si>
    <t>Май м-ц</t>
  </si>
  <si>
    <t>Прочистка канализации 72 м,</t>
  </si>
  <si>
    <t>Ремонт оконных переплетов 1 шт,</t>
  </si>
  <si>
    <t>Смена труб ВС 2,5 м,прочистка труб ВС 7 час,прочистка канализации 80 м,смена вентилей 2 шт</t>
  </si>
  <si>
    <t>Выкашивание газонов 600 м2</t>
  </si>
  <si>
    <t>Смена вентилей 4 шт.,прочистка канализации 128 м.,смена врезок вентилей 36 шт</t>
  </si>
  <si>
    <t>Ремонт кровли 2 м2 с вышки</t>
  </si>
  <si>
    <t>Смена ламп 5 шт,патронов 1 шт,ремонт эл.щита 1 шт со сменой авт.выключателя 2 шт</t>
  </si>
  <si>
    <t>Прочистка канализации 64 м,выполнение заявок 0,5 час,запуск отопления на бойлер 4 час</t>
  </si>
  <si>
    <t>Прочистка канализации 86 м.,прочистка труб ВС 4 час,смена вентилей 2 шт,перезапуск отопления 8 час</t>
  </si>
  <si>
    <t>Смена ламп 8шт.,выключателей 1 шт.патронов 1 шт</t>
  </si>
  <si>
    <t>Прочистка канализации 48 м,прочистка труб ВС 4 час,смена вентилей 6 шт,перезапуск отопления 6 час</t>
  </si>
  <si>
    <t>Смена ламп  6 шт.,выключателей 1 шт,патронов 1 шт</t>
  </si>
  <si>
    <t>Прочистка канализации 103 м.,перезапуск системы отопления 14 ч.,ревизия арматуры 1 шт.,ремонт труб  ВС  0,5 м</t>
  </si>
  <si>
    <t>Смена ламп 8 шт.,смена выключателей 1 шт.,</t>
  </si>
  <si>
    <t>Прочистка трубопроводов  канализации 27 м.смена труб канализации 1,5 м,смена вентилей 3 шт,смена труб ВС 4 мвыполнение заявок 8 час</t>
  </si>
  <si>
    <t>Прочистка трубопроводов внутренней канализации 36 м.прочистка труб ВС 1,5 час</t>
  </si>
  <si>
    <t>Смена патронов 2 шт,ламп 8 шт</t>
  </si>
  <si>
    <t>Прочистка и перезапуск труб ВС 12 час ,</t>
  </si>
  <si>
    <t>Смена вентилей 1 шт,перезапуск отопления 2 час</t>
  </si>
  <si>
    <t>Прочистка и перезапуск ВС 12 час,прочистка канализации 115 м,выполнение заявок 0,5 час</t>
  </si>
  <si>
    <t>Смена ламп 4 шт,Ремонт эл.щита 1 шт со сменой авт.выключателя 2 шт</t>
  </si>
  <si>
    <t>Прочистка канализации 75 м,прочистка труб ВС 4 час,смена вентилей 3 шт,выполнение заявок 0,5 час</t>
  </si>
  <si>
    <t>Смена ламп 5 шт.,выключателей 1 шт.,ремонт эл.щитов 2 шт со сменой авт.выключателей 6 шт</t>
  </si>
  <si>
    <t>Июль м-ц</t>
  </si>
  <si>
    <t>Прочистка труб канализации 73 м,перезапуск водоснабжения 4 час,ревизия вентилей 1 шт,задвижек 7 шт</t>
  </si>
  <si>
    <t>Смена ламп 4 шт патронов 1 шт</t>
  </si>
  <si>
    <t>Прочистка труб канализации 134 м,смена вентилей 1 шт</t>
  </si>
  <si>
    <t>Смена ламп 6 шт.,патронов  1 шт.</t>
  </si>
  <si>
    <t>Выполнение заявок 1 час,запуск отопления на бойлер 4 час</t>
  </si>
  <si>
    <t>Смена ламп 4 шт,смена выключателей 1 шт,ремонт эл.щита со сменой авт.выключателей 1 шт</t>
  </si>
  <si>
    <t xml:space="preserve">Прочистка канализации 63 м.,смена труб ВС 6 м.,прочистка и перезапуск ВС 25 час,перезапуск отопления8 час,выполнение заявок 0,5 час </t>
  </si>
  <si>
    <t>Прочистка канализации 84 м.,прочистка и перезапуск водоснабжения 6 час,ревизия задвижек 1 шт</t>
  </si>
  <si>
    <t>Смена ламп 8 шт.,патронов 2 шт.</t>
  </si>
  <si>
    <t>Прочистка канализации 118 м.,перезапуск системы водоснабжения 10ч.выполнение заявок 1,5 час,ревизия задвижек 2 шт</t>
  </si>
  <si>
    <t>Смена ламп 10 шт.патронов 1 шт,ремонт щита 1 шт,смена предохранителей 5 шт</t>
  </si>
  <si>
    <t>Прочистка внутренних  трубопроводов канализации 45 м.</t>
  </si>
  <si>
    <t>Прочистка   канализации 30  м</t>
  </si>
  <si>
    <t>Ремонт эл.щитов 1 шт со сменой авт.выключателей 3 шт</t>
  </si>
  <si>
    <t>Прочистка   трубопроводов канализации 49 м.выполнение заявок 3 час</t>
  </si>
  <si>
    <t>Прочистка канализации 74 м,перезапуск отопления 2 час</t>
  </si>
  <si>
    <t>Смена ламп 9 шт,выключателей 2 шт</t>
  </si>
  <si>
    <t>Прочистка труб канализации 213 м,прочистка и перезапуск системы водоснабжения 12 час</t>
  </si>
  <si>
    <t>Смена ламп5 шт,патронов 1 шт,ремонт эл.щита 2 шт со сменой авт.выключателя 2шт</t>
  </si>
  <si>
    <t>Прочистка канализации104 м,смена вентилей 2 шт,выполнение заявок 0,5 час</t>
  </si>
  <si>
    <t>Смена ламп  5 шт.,выключателей 1 шт.</t>
  </si>
  <si>
    <t>Прочистка канализации 236 м.смена труб ВС 1,2 м,смена задвижек 2 шт,вентилей 4 шт</t>
  </si>
  <si>
    <t>Прочистка канализации 78 м.,выполнение заявок 0,5 час,запуск отопления на бойлер 4 час</t>
  </si>
  <si>
    <t>Прочистка канализации 97 м.смена труб хвс 1 м,смена задвижек 1 шт,вентилей 1 шт,перезапуск отопления 26 час</t>
  </si>
  <si>
    <t>Смена ламп 7 шт.выключателей 1 шт</t>
  </si>
  <si>
    <t>Ремонт кровли  125 м2</t>
  </si>
  <si>
    <t>Прочистка канализации 99 м.смена вентилей 1 шт,выполнение заявок 0,5 час</t>
  </si>
  <si>
    <t>Смена ламп 7 шт.,патронов 1 шт.,</t>
  </si>
  <si>
    <t>Прочистка канализации 98 м.прочистка  труб ХВС,ГВС 4 час,смена вентилей 8 шт</t>
  </si>
  <si>
    <t>Смена ламп  12 шт,патронов 2 шт</t>
  </si>
  <si>
    <t>Смена ламп 18 шт. выключателей 2 шт,патронов 3 шт</t>
  </si>
  <si>
    <t>Прочистка внутренних трубопроводов канализации 28 м.</t>
  </si>
  <si>
    <t>Ремонт эл.щитов 1 шт со сменой авт.выключателей 2 шт</t>
  </si>
  <si>
    <t>Смена выключателей 12 шт.,патронов 2 шт</t>
  </si>
  <si>
    <t xml:space="preserve">Апрель м-ц </t>
  </si>
  <si>
    <t>Прочистка канализации 43 м,перезапуск отопления 2 час</t>
  </si>
  <si>
    <t>Смена ламп 6 шт,патронов 1 шт</t>
  </si>
  <si>
    <t>Прочистка канализации 48 м,выполнение заявок 1 час</t>
  </si>
  <si>
    <t xml:space="preserve">Июнь м-ц </t>
  </si>
  <si>
    <t>Смена труб хвс 4 м,прочистка труб водоснабжения 4 час,прочистка канализации 115 м,смена вентилей 2 шт,выполнение заявок 0,5 час,ревизия вентилей 1 шт</t>
  </si>
  <si>
    <t>Прочистка канализации  98 м.</t>
  </si>
  <si>
    <t>Смена ламп 6 шт.,патронов 1 шт.,</t>
  </si>
  <si>
    <t>Прочистка канализации 73 м,ревизия задвижек 4 шт</t>
  </si>
  <si>
    <t>Ремонт эл.щитов 1 шт.со сменой авт.выключателей 2 шт,смена ламп 4 шт,патронов 1 шт</t>
  </si>
  <si>
    <t>Прочистка канализации 189 м.запуск отопления на бойлер 4 час</t>
  </si>
  <si>
    <t>Ремонт эл.щитов 1 шт со сменой автоматов 3 шт</t>
  </si>
  <si>
    <t>Прочистка канализации 45 м.,смена труб ХВС и ГВС 6 м.,перезапуск и прочистка труб водоснабжения 10 час,смена зажвижек 3 шт,вентилей 7 шт,перезапуск отопления 39 час,выполнение заявок 3 час</t>
  </si>
  <si>
    <t>Смена ламп  5 шт.,патронов 1 шт.,выключателей 1 шт</t>
  </si>
  <si>
    <t>Утепление окон в подвале 2 час</t>
  </si>
  <si>
    <t>Прочистка канализации 59 м.,прочистка труб водоснабжения 8 час,</t>
  </si>
  <si>
    <t>Смена ламп 6 шт.,патронов 1 шт</t>
  </si>
  <si>
    <t>Прочистка ХВС и ГВС 4 ч.,смена труб канализации 2,6 мсмена вентилей 4 шт,выполнение заявок0,5 час</t>
  </si>
  <si>
    <t>Смена ламп 11 шт,выключателей 1 шт</t>
  </si>
  <si>
    <t>Прочистка труб внутренней канализации 15 м.</t>
  </si>
  <si>
    <t>Прочистка канализации 15 м,смена вентилей 2,отогрев системы отопления 18 час,выполнение заявок 1 час</t>
  </si>
  <si>
    <t>Очистка кровли от снега с вышки 5 час</t>
  </si>
  <si>
    <t>Прочистка труб внутренней канализации 38 м.,перезапуск отопления 5 час</t>
  </si>
  <si>
    <t>Очистка кровли от снега с вышки 3 час</t>
  </si>
  <si>
    <t>Очистка кровли от снега с вышки 3 час,ремонт дверей 1 шт</t>
  </si>
  <si>
    <t xml:space="preserve">май м-ц </t>
  </si>
  <si>
    <t>Прочистка труб внутренней канализации 69 м.</t>
  </si>
  <si>
    <t>Июнь м-й</t>
  </si>
  <si>
    <t>Ремонт эл.щитов со сменой авт.выключателей 2 шт</t>
  </si>
  <si>
    <t>Ревизия арматуры 7 шт.,прочистка канализации 75 м.,ремонт труб канализации 2 м.</t>
  </si>
  <si>
    <t>Прочистка канализации 52 м.</t>
  </si>
  <si>
    <t>Смена ламп 3 шт,патронов 1 шт</t>
  </si>
  <si>
    <t>Прочистка канализации 19 м. запуск отопления на бойлер 2 час</t>
  </si>
  <si>
    <t>Прочистка канализации 30 м.,прочистка труб ВС 8 час,смена вентилей 2 шт,перезапуск отопления28 час, ревизия вентилей 2 шт</t>
  </si>
  <si>
    <t>Чистка кровли от снега с вышки 6 час</t>
  </si>
  <si>
    <t>Прочистка канализации 39 м.,запуск системы отопления 4 ч.,</t>
  </si>
  <si>
    <t>Прочистка канализации 32 м.,запуск системы отопления 40 ч.,</t>
  </si>
  <si>
    <t>Смена ламп  18 шт.,выключателей 2  шт.,патронов 3 шт.</t>
  </si>
  <si>
    <t>Прочистка канализации 141 м.прочистка труб ВС 1,5 час,выполение заявок 0,5 час</t>
  </si>
  <si>
    <t>Смена труб хвс 3 м,прочистка канализации 142 м,перезапуск отопления 133 час</t>
  </si>
  <si>
    <t>Смена стекла 2,5 м2</t>
  </si>
  <si>
    <t>Смена ламп 20 шт,выключателей 4 шт,патронов 6 шт</t>
  </si>
  <si>
    <t>Смена ламп 25 шт.,выключателей 3 шт.патронов 5 шт</t>
  </si>
  <si>
    <t>Смена стекла 8,3 м2,ремонт дверей 1 шт,окон 5 шт,</t>
  </si>
  <si>
    <t>Прочистка канализации 95 м,выполнение заявок 4 час</t>
  </si>
  <si>
    <t>Смена ламп  25 шт.,выключателей 4 шт.,патронов 6 шт.</t>
  </si>
  <si>
    <t>Смена стекла 1,2 м2,ремонт дверей 3 шт</t>
  </si>
  <si>
    <t>Смена труб хвс 5,3 м, смена труб канализации 0,5 м,смена вентилей 5 шт,перезапуск отопления 2 час</t>
  </si>
  <si>
    <t>Смена ламп  12 шт.,выключателей 3 шт.,патронов 5 шт.</t>
  </si>
  <si>
    <t>Прочистка канализации 173 м,смена задвижек 1 шт,выполнение заявок 1 час,смена мойки со смесителем 1 шт</t>
  </si>
  <si>
    <t>Прочистка канализации 65 м,смена труб канализации 1 м,выполнение заявок 0,5 час</t>
  </si>
  <si>
    <t>Смена ламп 15 шт,выключателей 4 шт,патронов 5 шт</t>
  </si>
  <si>
    <t>Прочистка канализации 247 м</t>
  </si>
  <si>
    <t>Смена ламп 12 шт.,выключателей 5 шт.,патронов 5 шт.,</t>
  </si>
  <si>
    <t>Прочистка труб канализации 120 м.,смена вентилей 2 шт.,водоотлив из подвала 24 час</t>
  </si>
  <si>
    <t>Смена ламп 18 шт.,патронов 5 шт,выключателей 3 шт</t>
  </si>
  <si>
    <t>Прочистка труб канализации 168 м.,выполение заявок 0,5 час</t>
  </si>
  <si>
    <t>Смена ламп  15 шт.,выключателей 5 шт.,патронов 3 шт.ремонт эл.щитов 1 шт со сменой авт.выключателей 4 шт,смена проводка 14 м</t>
  </si>
  <si>
    <t>Смена стекла 5,5 м2,ремонт дверей 1 шт,окон 3 шт,дезинфекция подвала 300 м2</t>
  </si>
  <si>
    <t>Прочистка труб  канализации 94 м.прочистка труб ВС 4 час,смена труб канализации 0,5 м,перезапуск отопления 16 час</t>
  </si>
  <si>
    <t>Смена ламп  25 шт.,выключателей 5 шт.,патронов 5 шт.</t>
  </si>
  <si>
    <t>Прочистка труб  канализации 96 м.,смена вентилей 1 шт,перезапуск отопления 4 час</t>
  </si>
  <si>
    <t>Смена ламп  18 шт.,выключателей 3 шт.,патронов 4 шт.,ремонт шкафа 1 шт</t>
  </si>
  <si>
    <t>Смена стекла  0,5 М2.ремонт окон 1 шт,чистка подвала 10 м3</t>
  </si>
  <si>
    <t>Прочистка труб канализации 112 м.,выполнение заявок 2 час</t>
  </si>
  <si>
    <t>Смена ламп  18 шт.,выключателей 2 шт.,патронов 4 шт.,</t>
  </si>
  <si>
    <t>Смена стекла 0,8 м2,ремонт дверей 1 шт</t>
  </si>
  <si>
    <t>Ремонт оконных переплетов 1 шт</t>
  </si>
  <si>
    <t>Прочистка труб  внутренней канализации 20 м.,перезапуск отопления 24 час,смена труб ХВС 1 м,выполнение заявок 0,5 час</t>
  </si>
  <si>
    <t>Февраль м - ц</t>
  </si>
  <si>
    <t>Прочистка канализации 90 м,смена вентилей 3 шт,перезапуск отопления 6 час</t>
  </si>
  <si>
    <t>Чистка кровли от снега с вышки</t>
  </si>
  <si>
    <t>Прочистка труб ХВС 4 час,прочистка канализации 65 м,перезапуск отопления 2 час,смена сгонов 1 шт</t>
  </si>
  <si>
    <t>Очистка  подвала 30,5 тн</t>
  </si>
  <si>
    <t>Прочистка канализации 90 м,перезапуск отопления 5 час</t>
  </si>
  <si>
    <t>Прочистка канализации 168 м, выполнение заявок 0,5 час</t>
  </si>
  <si>
    <t>Прочистка канализации 75 м</t>
  </si>
  <si>
    <t>Прочистка канализации 90 м.ревизия задвижек 4 шт</t>
  </si>
  <si>
    <t>Прочистка вентиляции 2 м</t>
  </si>
  <si>
    <t>Смена труб канализации 2 м,смена вентилей 2 шт,ревизия задвижек 1 шт</t>
  </si>
  <si>
    <t>Запуск отопления на бойлер 2 час,выполнение заявок 0,5 час</t>
  </si>
  <si>
    <t>Прочистка вентиляции 8 м</t>
  </si>
  <si>
    <t>Смена ламп 2 шт,проверка эл.счетчика 1 час</t>
  </si>
  <si>
    <t>Прочистка канализации 26 м.,смена вентилей 2 шт,перезапуск отопления 20 час</t>
  </si>
  <si>
    <t>Смена стекла 0,5 м2, чистка кровли от снега с вышки 3 час</t>
  </si>
  <si>
    <t>Смена труб хвс 1 м,прочистка канализации 67 м,смена вентилей 3 шт,перезапуск отопления 6 час,выполнение заявок 0,5 час</t>
  </si>
  <si>
    <t>Смена ламп 6 шт.,патронов 2 шт</t>
  </si>
  <si>
    <t>Прочистка канализации 75 м.,перезапуск системы отопления 48 ч.,смена труб ХВС и ГВС 5 м,прочистка труб ВС 4 час,смена вентилей 2 шт</t>
  </si>
  <si>
    <t>Запланировано работ на 2015год (руб.коп.)</t>
  </si>
  <si>
    <t>Прочистка канализации 19 м</t>
  </si>
  <si>
    <t>Прочистка канализации 30 м,отогрев труб отопления  22 час</t>
  </si>
  <si>
    <t>Прочистка канализации 85 м,выполнение заявок 2 час</t>
  </si>
  <si>
    <t>Прочистка канализации 59 м,прочистка труб ХВС 4 час,перезапуск отопления 1 час</t>
  </si>
  <si>
    <t>Прочистка канализации 138 м,смена вентилей 1 шт</t>
  </si>
  <si>
    <t>Прочистка канализации 50 м</t>
  </si>
  <si>
    <t>Прочистка канализации 85 м,</t>
  </si>
  <si>
    <t>Ремонт эл.щита со сменой авт.выключателей 1 шт</t>
  </si>
  <si>
    <t>Прочистка канализации 25 м.выполнение заявок 0,5 час</t>
  </si>
  <si>
    <t>Прочистка канализации 32 м.</t>
  </si>
  <si>
    <t>Прочистка канализации 35 м.перезапуск отопления 16 час,выполнение заявок 0,5 час</t>
  </si>
  <si>
    <t>Очистка кровли от снега с вышки 6 час</t>
  </si>
  <si>
    <t>Прочистка канализации 26 м.</t>
  </si>
  <si>
    <t>Перезапуск отопления 32 час,смена труб водоснабжения 4 м</t>
  </si>
  <si>
    <t>Прочистка внутренней канализации 45  м.</t>
  </si>
  <si>
    <t>Прочистка канализации 45 м</t>
  </si>
  <si>
    <t>Прочистка канализации 30 м,выполнение заявок 2 час</t>
  </si>
  <si>
    <t>Прочистка канализации 50 м,смена вентилей 1 шт</t>
  </si>
  <si>
    <t>Прочистка канализации 40 м,смена труб канализации 1 м</t>
  </si>
  <si>
    <t>Прочистка канализации 38 м,ревизия задвижек 2 шт,ремонт ограждения 4 час</t>
  </si>
  <si>
    <t>Август м-ц</t>
  </si>
  <si>
    <t>Прочистка канализации 35 м</t>
  </si>
  <si>
    <t>Прочистка канализации 25 м,запуск отопления на бойлер 1 час</t>
  </si>
  <si>
    <t>Перезапуск отопления 16 час</t>
  </si>
  <si>
    <t>Прочистка канализации 15 м,смена вентилей 1 шт</t>
  </si>
  <si>
    <t>Прочистка канализации 55 м.,смена труб канализации 2 м,перезапуск отопления 18 час</t>
  </si>
  <si>
    <t xml:space="preserve">Прочистка труб канализации 23 м </t>
  </si>
  <si>
    <t>Смена ламп 15 шт,выключателей 2 шт,патронов 4 шт</t>
  </si>
  <si>
    <t>Прочистка труб ВС 2 час</t>
  </si>
  <si>
    <t>Чистка кровли от снега с вышки 2 час</t>
  </si>
  <si>
    <t>Прочистка труб канализации 16 м,выполнение заявок 0,5 час</t>
  </si>
  <si>
    <t>Перезапуск отопления 1 час</t>
  </si>
  <si>
    <t>Прочистка канализации 29 м,</t>
  </si>
  <si>
    <t>Прочистка канализации 24 м</t>
  </si>
  <si>
    <t>Прочистка труб водоснабжения 4 час</t>
  </si>
  <si>
    <t>Перезапуск отопления 10 час</t>
  </si>
  <si>
    <t xml:space="preserve">Прочистка  канализации 15 м.,перезапуск отопления 18 час </t>
  </si>
  <si>
    <t>Смена стекла 1,2м2,ремонт двери 3 шт,ремонт окна 1 шт</t>
  </si>
  <si>
    <t>Смена ламп 3 шт,ремонт щита 1 щт</t>
  </si>
  <si>
    <t>Прочистка канализации 20 м.перезапуск отопления 12 час</t>
  </si>
  <si>
    <t>Прочистка канализации 30 м,перезапуск отопления 12 час</t>
  </si>
  <si>
    <t>Чистка кровли от снега с вышки 4 час</t>
  </si>
  <si>
    <t xml:space="preserve">Прочистка канализации 13 м </t>
  </si>
  <si>
    <t>Прочистка канализации 45 м,перезапуск отопления 1 час</t>
  </si>
  <si>
    <t>Прочистка канализации 32 м ,смена вентилей 1 шт</t>
  </si>
  <si>
    <t>Прочистка канализации 68 м</t>
  </si>
  <si>
    <t>Смена труб ХВС 12 м,прочистка канализации 39 м,смена труб канализации 3 м,смена вентилей 4 шт</t>
  </si>
  <si>
    <t>Смена ламп 3 шт.,патронов 1 шт.</t>
  </si>
  <si>
    <t>Прочистка канализации 78 м</t>
  </si>
  <si>
    <t>Ремонт кровли 4 час  с вышки</t>
  </si>
  <si>
    <t>Прочистка канализации 22 м.,перезапуск отопление 12 час</t>
  </si>
  <si>
    <t>Смена ламп 4 шт,выключателей 1 шт, патронов 2 шт</t>
  </si>
  <si>
    <t>Перезапуск отопления 2 час</t>
  </si>
  <si>
    <t>Прочистка канализации 40 м,смена труб канализации 1,5м,смена вентилей 2 шт,перезапуск отопления 4 час,выполнение заявок 4 час,установка регистра 4 м</t>
  </si>
  <si>
    <t>Смена ламп 12 шт,выключателей 2 шт,патронов 3 шт</t>
  </si>
  <si>
    <t>Смена обшивки труб канализации 7 м2</t>
  </si>
  <si>
    <t>Смена ламп 8 шт.,патронов 2 шт.,смена щитков 2 шт. со сменой авт.выкл.2 шт</t>
  </si>
  <si>
    <t>Смена труб водоснабжения 5 м,Прочистка канализации 230 м,смена вентилей 9 шт, перезапуск отопления 39 час,выполнение заявок 12 час,смена сгонов 6 шт</t>
  </si>
  <si>
    <t>Смена ламп 7 шт.,выключателей 1 шт</t>
  </si>
  <si>
    <t>Прочистка канализации 50 м,выполнение заявок 9 час</t>
  </si>
  <si>
    <t>Прочистка канализации 76 м,выполнение заявок 0,5 час</t>
  </si>
  <si>
    <t>Смена выключателей 1 шт. ламп 8 шт,патронов 2 шт</t>
  </si>
  <si>
    <t>Прочистка канализации 92 м,смена вентилей 2 шт,ревизия вентилей 1 шт</t>
  </si>
  <si>
    <t>Ремонт эл.щита 1 шт со сменой авт.выключателей 5 шт</t>
  </si>
  <si>
    <t>Прочистка канализации 90 м,прочистка труб ХВС 4 час,ревизия задвижек 2 час</t>
  </si>
  <si>
    <t>Ремонт кровли 2 м2</t>
  </si>
  <si>
    <t>Смена ламп 4 шт.,выключателей  1 шт.</t>
  </si>
  <si>
    <t>Прочистка канализации 86 м,выполнение заявок 0,5 час</t>
  </si>
  <si>
    <t>Ремонт кровли 1,5 м2</t>
  </si>
  <si>
    <t>Смена ламп 6 шт.,патронов 1 шт,ремонт эл.щита 1 шт со сменой авт.выключателей 2 шт</t>
  </si>
  <si>
    <t>Прочистка канализации 87 м,запуск отопления на бойлер 4 час</t>
  </si>
  <si>
    <t>Смена ламп 5 шт,патронов 2 шт</t>
  </si>
  <si>
    <t>Прочистка труб водоснабжения 12 час,смена труб канализации 12 м,смена вентилей 2 шт,перезапуск отопления 12 час ревизия вентилей 2 шт</t>
  </si>
  <si>
    <t>Смена ламп 15 шт.,патронов 2 шт.</t>
  </si>
  <si>
    <t>Прочистка канализации 75 м,смена вентилей 4 шт,перезапуск отопления 6 час</t>
  </si>
  <si>
    <t>Смена ламп 10 шт.,патронов 1 шт.,смена щитков 1 шт.,смена предохранителей 4 шт</t>
  </si>
  <si>
    <t>Прочистка канализации 144 м.,выполнение заявок 0,5 час</t>
  </si>
  <si>
    <t>Смена ламп 12 шт.,выключателей 2 шт.,патронов 1 шт.</t>
  </si>
  <si>
    <t>Январь м-ц</t>
  </si>
  <si>
    <t>Прочистка канализации 25 м</t>
  </si>
  <si>
    <t>Прочистка канализации 12 м,перезапуск отопления 10,5 час</t>
  </si>
  <si>
    <t>Прочистка канализации 54 м,смена труб канализации 3,5 м,выполнение заявок 1 час</t>
  </si>
  <si>
    <t xml:space="preserve">Июль м-ц </t>
  </si>
  <si>
    <t>Прочистка труб канализации 36 м,ревизия вентилей 2 шт</t>
  </si>
  <si>
    <t>Перезапуск отопления 6 час</t>
  </si>
  <si>
    <t>Прочистка труб канализации 52 м,перезапуск отопления 6 час</t>
  </si>
  <si>
    <t>Прочистка канализации 40 м.,перезапуск отопления 3 час</t>
  </si>
  <si>
    <t xml:space="preserve">Январь м-ц </t>
  </si>
  <si>
    <t>Прочистка труб канализации 37 м</t>
  </si>
  <si>
    <t>Прочистка труб канализации 30 м,перезапуск отопления 1 час</t>
  </si>
  <si>
    <t>Прочистка канализации 48 м</t>
  </si>
  <si>
    <t>Ревизия вентилей 2 шт</t>
  </si>
  <si>
    <t>Сентябрь м-ц</t>
  </si>
  <si>
    <t>Запуск отопления на бойлер 1 час</t>
  </si>
  <si>
    <t>Ремонт отмостки 37 м2</t>
  </si>
  <si>
    <t>Смена труб водоснабжения 1 м,прочистка труб водоснабжения 4 час,смена вентилей 1 шт,перезапуск отопления 14 час</t>
  </si>
  <si>
    <t>Перезапуск отопления 10 час,прочистка канализации 32 м</t>
  </si>
  <si>
    <t>Прочистка труб канализации  15 м</t>
  </si>
  <si>
    <t>Октябрь м-ц</t>
  </si>
  <si>
    <t>Прочистка канализации 30 м</t>
  </si>
  <si>
    <t>Прочистка внутренних трубопроводов канализации 28 м.смена труб канализации 4,5 м,ревизия вентилей 2 шт,прочистка труб ВС 2 час</t>
  </si>
  <si>
    <t>Прочистка канализации 66 м,смена труб канализации 2,5 м,прочистка труб вс 2 час,перезапуск отопления 24,5 час,ревизия вентилей 1 шт,изоляция труб ГВС 6 м2,выполнение заявок 5 час</t>
  </si>
  <si>
    <t>Прочистка труб канализации 35 м,перезапуск отопления 2 час,дезинфекция подвала 3 час</t>
  </si>
  <si>
    <t>Прочистка  труб канализации 101 м.</t>
  </si>
  <si>
    <t>Прочистка канализации 62 м</t>
  </si>
  <si>
    <t>Выкашивание газонов 800 м2</t>
  </si>
  <si>
    <t>Прочистка труб канализации 108 м, выполнение заявок 0,5 час</t>
  </si>
  <si>
    <t>Смена ламп 8 шт.,патронов  2 шт.,ремонт эл.щита 1 шт</t>
  </si>
  <si>
    <t>Прочистка труб канализации 108 м, выполнение заявок 0,5 час,ревизия задвижек 4 шт</t>
  </si>
  <si>
    <t>Ремонт двери 1 шт</t>
  </si>
  <si>
    <t>Прочистка труб канализации 106 м,запуск отопления на бойлер 4 час</t>
  </si>
  <si>
    <t>Ремонт дверей 1 шт,навеска замка 1 шт</t>
  </si>
  <si>
    <t>Прочистка труб канализации 53 м.,перезапуск отопления 48 час,выполнение заявок 0,5 час</t>
  </si>
  <si>
    <t>Прочистка труб канализации 126  м.,смена труб водоснабжения 10 м,</t>
  </si>
  <si>
    <t>Ремонт дверей 1 шт,навеска замка 2 шт</t>
  </si>
  <si>
    <t>Прочистка труб канализации 56 м.,запуск системы отопления 8 ч.,ревизия задвижек 1 шт.</t>
  </si>
  <si>
    <t xml:space="preserve">Смена ламп 10 шт,патронов 1 шт,ремонт эл.щита 1 шт </t>
  </si>
  <si>
    <t>Прочистка внутренних трубопроводов канализации 44 м.,перезапуск отопления 8 час,смена труб водоснабжения  1 м</t>
  </si>
  <si>
    <t>Смена ламп 10 шт,выключателей 1 шт.,смена патронов 2 шт</t>
  </si>
  <si>
    <t>Смена  ламп 12 шт,патронов 2 шт</t>
  </si>
  <si>
    <t>Очистка кровли от снега 8 час</t>
  </si>
  <si>
    <t>Прочистка канализации 72 м,выполнение заявок 2,5 час</t>
  </si>
  <si>
    <t>Прочистка труб канализации 86 м,прочистка труб ВС 4 час,перезапуск отопления 2 час</t>
  </si>
  <si>
    <t>Прочистка труб канализации 118 м,прочистка труб ВС 4,7  час,смена труб канализации 1 м,смена врезок вентилей 6 шт</t>
  </si>
  <si>
    <t>Ремонт детского городка</t>
  </si>
  <si>
    <t>Смена ламп 8 шт</t>
  </si>
  <si>
    <t>Смена врезок вентилей 30 шт,ревизия вентилей 1 шт,обслуживание насоса 6 ч.</t>
  </si>
  <si>
    <t>Выкашивание газона 1200 м2</t>
  </si>
  <si>
    <t>Прочистка канализации 108 м,прочистка труб ВС 8 час,смена труб канализации 2 м,смена вентилей 4 шт,ревизия вентилей 2 шт задвижек 10 шт,выполнение заявок 4 час</t>
  </si>
  <si>
    <t>Смена ламп 5 шт,выключателей 1 шт.,ремонт щитков 1 шт со сменой авт.выкл.3 шт</t>
  </si>
  <si>
    <t>Прочистка канализации 87 м.,ревизия арматуры 4 шт.,смена вентилей  2 шт.,смена труб канализации 3 м</t>
  </si>
  <si>
    <t>Смена ламп 7 шт,ремонт эл. щитков 2 шт,смена выключателей 1 шт,патронов 2 шт</t>
  </si>
  <si>
    <t>Прочистка канализации 86 м.,запуск отопления на бойлер 4 час</t>
  </si>
  <si>
    <t>Дезинфекция подвала 1020 м2</t>
  </si>
  <si>
    <t>Ремонт эл.щитов 2 шт со сменой авт.выкл. 2 шт</t>
  </si>
  <si>
    <t>Прочистка канализации 63 м.,прочистка труб ВС 4 час,смена вентилей 3 шт,перезапуск отопления 8 шт,выполнение заявок 0,5 час</t>
  </si>
  <si>
    <t>Смена ламп 6 шт,выключателей 1 шт.,</t>
  </si>
  <si>
    <t>Осмотр кровли 2,м2</t>
  </si>
  <si>
    <t>Смена ламп 12 шт,выключателей 1 шт,патронов 2 шт</t>
  </si>
  <si>
    <t>Прочистка канализации 109 м,перезапуск отопления ревизия вентилей 1 шт</t>
  </si>
  <si>
    <t>Прочистка канализации 106 м.,смена труб канализации 9 шт,выполнение заявок 0,5 час</t>
  </si>
  <si>
    <t>Смена ламп 8 шт,выключателей 1 шт.</t>
  </si>
  <si>
    <t>Выполнение заявок 12 час</t>
  </si>
  <si>
    <t>Ремонт подъезда № 1,смена оконных блоков 24 шт</t>
  </si>
  <si>
    <t>Прочистка труб ВС 2,5 час,прочистка канализации 49 м,смена задвижек 1 шт,перезапуск отопления 2 час</t>
  </si>
  <si>
    <t>Ремонт подъездов № 2,3</t>
  </si>
  <si>
    <t xml:space="preserve">Прочистка труб ВС 4,5 час,прочистка канализации 110 м,смена вентилей 1 шт,перезапуск отопления 2 час,смена труб канализации 16 м,дезинфекция подвала 4 час </t>
  </si>
  <si>
    <t>Ремонт подъезда № 4,5</t>
  </si>
  <si>
    <t>Смена ламп 7 шт,выключателей 1</t>
  </si>
  <si>
    <t>Прочистка труб ВС 9 час,прочистка канализации 99м,смена врезок и вентилей 36 шт</t>
  </si>
  <si>
    <t>Прочистка канализации 68 м,обслуживание насоса 6 час</t>
  </si>
  <si>
    <t>Выкашивание газонов 900 м2</t>
  </si>
  <si>
    <t>Смена ламп 5 шт,выключателей 1 шт,ремонт эл.шита  2 шт со сменой авт.выключателей 4 шт</t>
  </si>
  <si>
    <t>Прочистка канализации 71 м.,ревизия задвижек 4 шт</t>
  </si>
  <si>
    <t>Смена ламп  7 шт.,патронов   1 шт.</t>
  </si>
  <si>
    <t>Прочистка канализации 109 м</t>
  </si>
  <si>
    <t>Запуск отопления на бойлер 4 час</t>
  </si>
  <si>
    <t>Смена ламп 3 шт.,выключатель   1 шт</t>
  </si>
  <si>
    <t>Проверка вентиляции 1 час</t>
  </si>
  <si>
    <t>Прочистка труб ВС 8 час,смена труб ВС 1 м канализации 5 м,смена вентилей 2 шт,перезапуск отопления 8 час</t>
  </si>
  <si>
    <t>Смена ламп 8 шт.,патронов  1 шт.</t>
  </si>
  <si>
    <t>Прочистка канализации 87 м.,перезапуск отопления 24 час</t>
  </si>
  <si>
    <t>Смена ламп  8 шт ,патронов 2шт</t>
  </si>
  <si>
    <t>Прочистка канализации 87 м.,смена вентилей 2 шт,выполнение заявок 0,5 час</t>
  </si>
  <si>
    <t>Смена ламп  9 шт,ремонт эл.щита 1 шт со сменой авт.выключателя 2 шт</t>
  </si>
  <si>
    <t>Прочистка внутренних трубопроводов канализации 42 м.</t>
  </si>
  <si>
    <t>Смена ламп 12 шт,выключателей 1 шт,ремонт эл.щита со сменой авт.выключателей 1 шт,смена предохранителей 1 шт</t>
  </si>
  <si>
    <t>Смена труб ВС 1 м,прочистка канализации 24 м,перезапуск отопления 9 час,ревизия вентилей 2 шт</t>
  </si>
  <si>
    <t>Смена ламп 8 шт,выключателей 1 шт</t>
  </si>
  <si>
    <t>Смена вентилей и сгонов в подвале 1 шт.,прочистка трубопроводов канализации 82 м.,смена труб ВС 1 м,перезапуск отопления 5 час</t>
  </si>
  <si>
    <t>Смена труб Д-25 мм 2,5 м.,прочистка  трубопроводов канализации 119 м.,прочистка труб ВС 12 час,смена задвижек 1 шт,смена труб канализации 5 м,перезапуск отопления 8 час</t>
  </si>
  <si>
    <t>Смена труб ВС 2 м,прочистка канализации 114 м,прочистка труб ВС 11 час,смена врезок с вентилями 36 шт</t>
  </si>
  <si>
    <t>Смена стекла 0,7 м2,ремонт дверей 2 шт,окон 1 шт,выкашивание шазонов 150 м2,ремонт кровли 16 м2</t>
  </si>
  <si>
    <t>Ремонт карусели 1 шт</t>
  </si>
  <si>
    <t>Прочистка и перезапуск водоснабжения 20 час,прочистка канализации 73 м,смена труь канализации 2 м,смена вентилей 3 шт,ревизия вентилей 2 шт,обслуживание насоса 6 час</t>
  </si>
  <si>
    <t>Ремонт эл.щита 2 шт,смена авт.выключателей 5 шт ,смена предохранителей 2 шт</t>
  </si>
  <si>
    <t>Ремонт труб канализации 79 м.,выполнение заявок 1 час,</t>
  </si>
  <si>
    <t>Смена ламп 4 шт.,патронов 1 шт</t>
  </si>
  <si>
    <t>Прочистка канализации 72 м.,смена труб канализации 2 м,прочистка труб ВС 4 час</t>
  </si>
  <si>
    <t>Прочистка канализации 125м.,запуск отопления на бойлер 4 час</t>
  </si>
  <si>
    <t>Ремонт скамейки 1 шт</t>
  </si>
  <si>
    <t>Смена вентилей 3 шт.,прочистка канализации 64 м.,прочистка и перезапуск труб ВС 12 час,смена труб ВС 1 м,перезапуск отопления 18 час</t>
  </si>
  <si>
    <t>Ремонт оконных переплётов 2 шт,навеска замка на люк 1шт</t>
  </si>
  <si>
    <t>Смена ламп 7 шт.,патронов 2</t>
  </si>
  <si>
    <t>Прочистка канализации 90 м.,перезапуск системы отопления 8 ч</t>
  </si>
  <si>
    <t xml:space="preserve">Утепление окон подвала 0,5 м2 </t>
  </si>
  <si>
    <t>Смена ламп 9 шт.,ремонт щитков 1 шт.смена авт.выключателей 2 шт,патронов 1 шт</t>
  </si>
  <si>
    <t>Прочистка канализации 96 м.,смена вентилей 3 шт,перезапуск отопления 8 час</t>
  </si>
  <si>
    <t>Ремонт эл.щита 1 шт со сменой авт.выключателей 2 шт</t>
  </si>
  <si>
    <t>Прочистка внутренних трубопроводов канализации 30 м.прочистка труб ВС 8 час</t>
  </si>
  <si>
    <t>Смена ламп  10 шт.,</t>
  </si>
  <si>
    <t>Прочистка внутренних трубопроводов канализации 56 м.,смена вентилей 2 шт,перезапуск отопления 36 час,выполнение заявок 4 час,ревизия вентилей 2 шт</t>
  </si>
  <si>
    <t>Смена ламп 10 шт,выключателей 1 шт,патронов 2 шт</t>
  </si>
  <si>
    <t>Смена ламп  10шт.,выключателей 1 шт.,патронов 2 шт,ремонт эл.щита 2 шт со сменой автомата 1 шт.</t>
  </si>
  <si>
    <t>Прочистка и перезапуск системы водоснабжения 11 час,прочистка канализации 69 м,смена вентилей 1 шт</t>
  </si>
  <si>
    <t>Смена ламп 5 шт,патронов 1 шт,ремонт эл.щита 1 шт со сменой авт.выкл. 1 шт</t>
  </si>
  <si>
    <t>Прочистка и перезапуск системы водоснабжения 6 час,прочистка канализации 69 м,смена вентилей 1 шт</t>
  </si>
  <si>
    <t>Смена ламп 5 шт,ремонт эл.щита 1 шт со сменой авт.выкл. 1 шт, проверка щитов 7,5 час</t>
  </si>
  <si>
    <t>Прочистка канализации 56 м,смена вентилей 1 шт,дезинфекция подвала 5 час</t>
  </si>
  <si>
    <t>Прочистка канализации 72 м.</t>
  </si>
  <si>
    <t>Смена ламп 5 шт.,патрона 1 шт.,ремонт предохр.шкафа 1 шт.</t>
  </si>
  <si>
    <t>Прочистка канализации 56 м.,прочистка труб ВС 4 час,смена вентилей 2 шт</t>
  </si>
  <si>
    <t>Прочистка канализации 85 м.,запуск отопления на бойлер 4 час</t>
  </si>
  <si>
    <t>Прочистка канализации 63 м.,смена вентилей 3 шт,смена труб канализации 2 м,перезапуск отопления 14 час,смена труб водоснабжения 2 м и прочистка 20 час</t>
  </si>
  <si>
    <t>Прочистка канализации 75 м.,перезапуск системы отопления 2 ч.,смена труб водоснабжения 1,7 м</t>
  </si>
  <si>
    <t>Смена ламп 8 шт.</t>
  </si>
  <si>
    <t>Ремонт труб канализации 2 м.,смена вентилей 4 шт., прочистка канализации 112м.,выполнение заявок 1,5 ч.</t>
  </si>
  <si>
    <t>Смена ламп 10 шт,патронов 1 шт</t>
  </si>
  <si>
    <t>Смена стекла  1,8 м2,ремонт оконных переплётов 1 шт</t>
  </si>
  <si>
    <t>Прочистка внутренних трубопроводов канализации 43 м.ревизия вентилей 2 шт</t>
  </si>
  <si>
    <t>Смена ламп 10 шт,выключателей 1 шт,патронов 1 шт,ремонт эл.щита 1 шт</t>
  </si>
  <si>
    <t>Выполнение заявок 2 час</t>
  </si>
  <si>
    <t>Смена ламп 9 шт,патронов 1 шт</t>
  </si>
  <si>
    <t>Ремонт эл.щита 1 шт со сменой авт.выключателя 1 шт</t>
  </si>
  <si>
    <t>Прочистка канализации 46 м,выполнение заявок 3 час</t>
  </si>
  <si>
    <t>Смена труб ХВС 2,5 м,прочистка труб ВС 4 час,прочистка канализации 59 м,перезапуск отопления 4 час,выполнение заявок 3 час</t>
  </si>
  <si>
    <t>Смена стекла 0,9 м2</t>
  </si>
  <si>
    <t>Смена труб водоснабжения 2 м,прочистка канализации 287 м,выполнение заявок 0,5 час</t>
  </si>
  <si>
    <t>Смена ламп 8 шт,выключателей 1 шт,осмотр щитов 7,5 час</t>
  </si>
  <si>
    <t>Прочистка канализации 59 м,перезапуск водоснабжения 2 ч</t>
  </si>
  <si>
    <t>Прочистка канализации 134 м,ревизия задвижек 4 шт,выполнение заявок 2 час</t>
  </si>
  <si>
    <t>Смена ламп 3 шт,патронов 1 шт,ремонт эл.щита со сменой авт.выключателя</t>
  </si>
  <si>
    <t>Прочистка канализации 102 м.,смена вентилей 1 шт.,ревизия задвижек 1 шт,выполнение заявок 4,5 час</t>
  </si>
  <si>
    <t>Прочистка канализации 76 м.запуск отопления на бойлер 4 час</t>
  </si>
  <si>
    <t>Смена стекла 0,75 м2,ремонт дверей 1 шт</t>
  </si>
  <si>
    <t>Смена ламп 4 шт,патронов 1 шт,ремонт эл.щита со сменой авт.выкл. 1 шт</t>
  </si>
  <si>
    <t>Ремонт труб водоснабжен. 3 м.,прочистка канализации 63 м.,смена вентилей 2 шт,перезапуск отопления 8 час,ревизия вентилей 2 шт</t>
  </si>
  <si>
    <t>Чистка кровли с вышки 3 час</t>
  </si>
  <si>
    <t>Ремонт труб водоснабжен. 0,5 м.,прочистка канализации 77 м.,смена вентилей 2 шт</t>
  </si>
  <si>
    <t>Смена ламп  6 шт.,патронов 1 шт.,ремонт эл.щита 1 шт со сменой авт.выкл.2 шт</t>
  </si>
  <si>
    <t>Прочистка канализации 97 м.,прочистка  ХВС и ГВС 4 ч.,смена вентилей 2 шт</t>
  </si>
  <si>
    <t>Очистка  кровли от снега с вышки 3,2 час</t>
  </si>
  <si>
    <t>Прочистка канализации 15 м</t>
  </si>
  <si>
    <t>Осмотр  эл. щитов  1 час</t>
  </si>
  <si>
    <t>Прочистка канализации 6 м,смена вентилей 2 шт</t>
  </si>
  <si>
    <t>Ремонт эл.щита со сменой авт.выкл.1 шт,смена провода 2 м</t>
  </si>
  <si>
    <t>Перезапуск отопления 4 час</t>
  </si>
  <si>
    <t>Утепление стен фасада т-100 мм 3,85 м3</t>
  </si>
  <si>
    <t>Прочистка труб канализации 389 м.перезапуск отопления 2час,выполнение заявок 8 час</t>
  </si>
  <si>
    <t>Смена труб хвс 1 м,прочистка труб хвс 6 час,прочистка канализации 84 м,см.труб канализации 2 м,см.вентилей 1 шт,перезапуск отопления 2 час</t>
  </si>
  <si>
    <t>Перезапуск отопления  2 ч,смена труб водоснабжения 3 м.</t>
  </si>
  <si>
    <t>Прочистка канализации 86 м..,водоотлив из подвала 6,4 м3.,запуск отопления на бойлер 4,5 час</t>
  </si>
  <si>
    <t>Прочистка канализации 65 м,смена вентилей 3 шт,сгонов 2 шт,утепление труб розлива 7 м2</t>
  </si>
  <si>
    <t>Прочистка трубопроводов 35 м.смена труб хвс 16 м,смена труб канализации 2м,смена вентилей 2 шт,выполнение заявок 1 час</t>
  </si>
  <si>
    <t>Утепление окон подвала 0,5 м</t>
  </si>
  <si>
    <t>Смена труб ХВС и ГВС 2,7 м.,прочистка труб ВС 4 час,прочистка канализации 46м,ревизия задвижек 2 шт,промывка радиаторов 4 шт</t>
  </si>
  <si>
    <t>Прочистка канализации 65м,смена труб канализации 1м,выполнение заявок 8 час</t>
  </si>
  <si>
    <t>Прочистка  трубопроводов канализации 270 м.,смена труб ВС 1,5м,смена вентилей 3 шт,перезапуск отопления 88 час,прочистка труб ВС 26 час</t>
  </si>
  <si>
    <t>Прочистка вент.каналов 1 м</t>
  </si>
  <si>
    <t>Прочистка канализации 46 м,смена труб канализации 16 м,выполнение заявок 4 час</t>
  </si>
  <si>
    <t xml:space="preserve">Прочистка внутренних трубопроводов канализации 89 м.,выполнение заявок 1 час </t>
  </si>
  <si>
    <t>Прочистка  трубопроводов  канализации 57 м.выполнение заявок 8 час</t>
  </si>
  <si>
    <t>Ремонт кровли 115 м2</t>
  </si>
  <si>
    <r>
      <t>м</t>
    </r>
    <r>
      <rPr>
        <vertAlign val="superscript"/>
        <sz val="18"/>
        <color indexed="62"/>
        <rFont val="Times New Roman"/>
        <family val="1"/>
      </rPr>
      <t>2</t>
    </r>
  </si>
  <si>
    <t>Долг жителей на 01.01.2015г.</t>
  </si>
  <si>
    <t>Долг жителей на 01.01.2014 г.</t>
  </si>
  <si>
    <t>Снижение за некачественно-предоставленные услуги по содержанию мест общего пользования</t>
  </si>
  <si>
    <t>Электроэнергия</t>
  </si>
  <si>
    <t>Запланировано работ                                         на 2015 год (руб.коп.)</t>
  </si>
  <si>
    <t>Запланировано работ                     на 2015 год (руб.коп.)</t>
  </si>
  <si>
    <t>Начислено населению                       за отчетный период (руб.коп.)</t>
  </si>
  <si>
    <t>Выполнено работ                        за отчетный период (руб.коп.)</t>
  </si>
  <si>
    <t>Смена стекла 1м2,ремонт дверей 2 шт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</si>
</sst>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color indexed="62"/>
      <name val="Times New Roman"/>
      <family val="1"/>
    </font>
    <font>
      <sz val="14"/>
      <color indexed="10"/>
      <name val="Times New Roman"/>
      <family val="1"/>
    </font>
    <font>
      <vertAlign val="superscript"/>
      <sz val="14"/>
      <color indexed="62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62"/>
      <name val="Arial Cyr"/>
      <family val="0"/>
    </font>
    <font>
      <sz val="14"/>
      <color indexed="62"/>
      <name val="Arial Cyr"/>
      <family val="2"/>
    </font>
    <font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10"/>
      <name val="Times New Roman"/>
      <family val="1"/>
    </font>
    <font>
      <vertAlign val="superscript"/>
      <sz val="18"/>
      <color indexed="62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6"/>
      <name val="Times New Roman"/>
      <family val="1"/>
    </font>
    <font>
      <sz val="16"/>
      <color indexed="10"/>
      <name val="Times New Roman"/>
      <family val="1"/>
    </font>
    <font>
      <b/>
      <sz val="10"/>
      <color indexed="10"/>
      <name val="Arial Cyr"/>
      <family val="0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7" tint="-0.24997000396251678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4" fontId="5" fillId="0" borderId="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4" fontId="0" fillId="0" borderId="0" xfId="0" applyNumberFormat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" fontId="13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5" fillId="0" borderId="14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0" fillId="32" borderId="0" xfId="0" applyFill="1" applyAlignment="1">
      <alignment/>
    </xf>
    <xf numFmtId="4" fontId="5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left" wrapText="1"/>
    </xf>
    <xf numFmtId="2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4" fontId="5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vertical="center" textRotation="90"/>
    </xf>
    <xf numFmtId="2" fontId="5" fillId="34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4" fontId="5" fillId="34" borderId="11" xfId="0" applyNumberFormat="1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wrapText="1"/>
    </xf>
    <xf numFmtId="2" fontId="5" fillId="34" borderId="0" xfId="0" applyNumberFormat="1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4" borderId="0" xfId="0" applyFill="1" applyBorder="1" applyAlignment="1">
      <alignment wrapText="1"/>
    </xf>
    <xf numFmtId="4" fontId="5" fillId="34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2" fontId="5" fillId="34" borderId="11" xfId="0" applyNumberFormat="1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 wrapText="1"/>
    </xf>
    <xf numFmtId="4" fontId="5" fillId="0" borderId="14" xfId="0" applyNumberFormat="1" applyFont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left" wrapText="1"/>
    </xf>
    <xf numFmtId="4" fontId="4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vertical="center" textRotation="90" wrapText="1"/>
    </xf>
    <xf numFmtId="0" fontId="5" fillId="34" borderId="0" xfId="0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 wrapText="1"/>
    </xf>
    <xf numFmtId="2" fontId="12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2" fontId="12" fillId="34" borderId="0" xfId="0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2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2" fontId="5" fillId="34" borderId="11" xfId="0" applyNumberFormat="1" applyFont="1" applyFill="1" applyBorder="1" applyAlignment="1">
      <alignment wrapText="1"/>
    </xf>
    <xf numFmtId="2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5" fillId="0" borderId="11" xfId="0" applyNumberFormat="1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4" xfId="0" applyNumberFormat="1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wrapText="1"/>
    </xf>
    <xf numFmtId="4" fontId="14" fillId="0" borderId="14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/>
    </xf>
    <xf numFmtId="4" fontId="14" fillId="34" borderId="10" xfId="0" applyNumberFormat="1" applyFont="1" applyFill="1" applyBorder="1" applyAlignment="1">
      <alignment horizontal="center" wrapText="1"/>
    </xf>
    <xf numFmtId="4" fontId="14" fillId="0" borderId="10" xfId="0" applyNumberFormat="1" applyFont="1" applyBorder="1" applyAlignment="1">
      <alignment horizontal="left" wrapText="1"/>
    </xf>
    <xf numFmtId="4" fontId="14" fillId="0" borderId="10" xfId="0" applyNumberFormat="1" applyFont="1" applyFill="1" applyBorder="1" applyAlignment="1">
      <alignment wrapText="1"/>
    </xf>
    <xf numFmtId="0" fontId="14" fillId="34" borderId="10" xfId="0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 wrapText="1"/>
    </xf>
    <xf numFmtId="2" fontId="14" fillId="34" borderId="10" xfId="0" applyNumberFormat="1" applyFont="1" applyFill="1" applyBorder="1" applyAlignment="1">
      <alignment horizontal="center"/>
    </xf>
    <xf numFmtId="4" fontId="17" fillId="0" borderId="0" xfId="0" applyNumberFormat="1" applyFont="1" applyAlignment="1">
      <alignment/>
    </xf>
    <xf numFmtId="4" fontId="14" fillId="0" borderId="0" xfId="0" applyNumberFormat="1" applyFont="1" applyFill="1" applyBorder="1" applyAlignment="1">
      <alignment wrapText="1"/>
    </xf>
    <xf numFmtId="4" fontId="14" fillId="0" borderId="0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right" wrapText="1"/>
    </xf>
    <xf numFmtId="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34" borderId="0" xfId="0" applyFont="1" applyFill="1" applyBorder="1" applyAlignment="1">
      <alignment horizontal="right" wrapText="1"/>
    </xf>
    <xf numFmtId="0" fontId="5" fillId="34" borderId="0" xfId="0" applyFont="1" applyFill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/>
    </xf>
    <xf numFmtId="0" fontId="5" fillId="34" borderId="11" xfId="0" applyNumberFormat="1" applyFont="1" applyFill="1" applyBorder="1" applyAlignment="1">
      <alignment horizontal="center" vertical="center" textRotation="90" wrapText="1"/>
    </xf>
    <xf numFmtId="0" fontId="5" fillId="34" borderId="13" xfId="0" applyNumberFormat="1" applyFont="1" applyFill="1" applyBorder="1" applyAlignment="1">
      <alignment horizontal="center" vertical="center" textRotation="90" wrapText="1"/>
    </xf>
    <xf numFmtId="0" fontId="5" fillId="34" borderId="12" xfId="0" applyNumberFormat="1" applyFont="1" applyFill="1" applyBorder="1" applyAlignment="1">
      <alignment horizontal="center" vertical="center" textRotation="90" wrapText="1"/>
    </xf>
    <xf numFmtId="4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textRotation="90" wrapText="1"/>
    </xf>
    <xf numFmtId="0" fontId="14" fillId="0" borderId="13" xfId="0" applyNumberFormat="1" applyFont="1" applyBorder="1" applyAlignment="1">
      <alignment horizontal="center" vertical="center" textRotation="90" wrapText="1"/>
    </xf>
    <xf numFmtId="0" fontId="14" fillId="0" borderId="12" xfId="0" applyNumberFormat="1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 wrapText="1"/>
    </xf>
    <xf numFmtId="0" fontId="14" fillId="34" borderId="11" xfId="0" applyNumberFormat="1" applyFont="1" applyFill="1" applyBorder="1" applyAlignment="1">
      <alignment horizontal="center" vertical="center" textRotation="90" wrapText="1"/>
    </xf>
    <xf numFmtId="0" fontId="14" fillId="34" borderId="13" xfId="0" applyNumberFormat="1" applyFont="1" applyFill="1" applyBorder="1" applyAlignment="1">
      <alignment horizontal="center" vertical="center" textRotation="90" wrapText="1"/>
    </xf>
    <xf numFmtId="0" fontId="14" fillId="34" borderId="12" xfId="0" applyNumberFormat="1" applyFont="1" applyFill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 textRotation="90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2" fontId="5" fillId="34" borderId="11" xfId="0" applyNumberFormat="1" applyFont="1" applyFill="1" applyBorder="1" applyAlignment="1">
      <alignment horizontal="center" vertical="center" textRotation="90" wrapText="1"/>
    </xf>
    <xf numFmtId="2" fontId="5" fillId="34" borderId="13" xfId="0" applyNumberFormat="1" applyFont="1" applyFill="1" applyBorder="1" applyAlignment="1">
      <alignment horizontal="center" vertical="center" textRotation="90" wrapText="1"/>
    </xf>
    <xf numFmtId="2" fontId="5" fillId="34" borderId="12" xfId="0" applyNumberFormat="1" applyFont="1" applyFill="1" applyBorder="1" applyAlignment="1">
      <alignment horizontal="center" vertical="center" textRotation="90" wrapText="1"/>
    </xf>
    <xf numFmtId="4" fontId="58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9" fillId="0" borderId="10" xfId="0" applyFont="1" applyBorder="1" applyAlignment="1">
      <alignment wrapText="1"/>
    </xf>
    <xf numFmtId="2" fontId="60" fillId="0" borderId="10" xfId="0" applyNumberFormat="1" applyFont="1" applyBorder="1" applyAlignment="1">
      <alignment horizontal="center"/>
    </xf>
    <xf numFmtId="2" fontId="59" fillId="34" borderId="10" xfId="0" applyNumberFormat="1" applyFont="1" applyFill="1" applyBorder="1" applyAlignment="1">
      <alignment horizontal="center"/>
    </xf>
    <xf numFmtId="2" fontId="59" fillId="0" borderId="10" xfId="0" applyNumberFormat="1" applyFont="1" applyBorder="1" applyAlignment="1">
      <alignment horizontal="center"/>
    </xf>
    <xf numFmtId="2" fontId="59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169" fontId="61" fillId="0" borderId="0" xfId="0" applyNumberFormat="1" applyFont="1" applyAlignment="1">
      <alignment/>
    </xf>
    <xf numFmtId="169" fontId="62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2" fontId="59" fillId="0" borderId="10" xfId="0" applyNumberFormat="1" applyFont="1" applyBorder="1" applyAlignment="1">
      <alignment horizontal="center" wrapText="1"/>
    </xf>
    <xf numFmtId="2" fontId="59" fillId="0" borderId="0" xfId="0" applyNumberFormat="1" applyFont="1" applyFill="1" applyBorder="1" applyAlignment="1">
      <alignment horizontal="center" wrapText="1"/>
    </xf>
    <xf numFmtId="2" fontId="6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65"/>
  <sheetViews>
    <sheetView view="pageBreakPreview" zoomScale="75" zoomScaleSheetLayoutView="75" zoomScalePageLayoutView="0" workbookViewId="0" topLeftCell="A58">
      <selection activeCell="B27" sqref="B27:B28"/>
    </sheetView>
  </sheetViews>
  <sheetFormatPr defaultColWidth="9.00390625" defaultRowHeight="12.75"/>
  <cols>
    <col min="1" max="1" width="9.25390625" style="0" bestFit="1" customWidth="1"/>
    <col min="2" max="2" width="61.875" style="0" customWidth="1"/>
    <col min="3" max="3" width="13.00390625" style="0" customWidth="1"/>
    <col min="4" max="4" width="11.375" style="0" customWidth="1"/>
    <col min="5" max="5" width="15.125" style="0" customWidth="1"/>
    <col min="6" max="6" width="14.375" style="0" customWidth="1"/>
    <col min="7" max="7" width="13.875" style="0" customWidth="1"/>
    <col min="8" max="10" width="0" style="0" hidden="1" customWidth="1"/>
  </cols>
  <sheetData>
    <row r="1" spans="1:7" ht="18.75">
      <c r="A1" s="179" t="s">
        <v>25</v>
      </c>
      <c r="B1" s="179"/>
      <c r="C1" s="179"/>
      <c r="D1" s="179"/>
      <c r="E1" s="179"/>
      <c r="F1" s="179"/>
      <c r="G1" s="5"/>
    </row>
    <row r="2" spans="1:7" ht="18.75">
      <c r="A2" s="179"/>
      <c r="B2" s="179"/>
      <c r="C2" s="179"/>
      <c r="D2" s="179"/>
      <c r="E2" s="179"/>
      <c r="F2" s="179"/>
      <c r="G2" s="5"/>
    </row>
    <row r="3" spans="1:7" ht="36" customHeight="1">
      <c r="A3" s="182" t="s">
        <v>72</v>
      </c>
      <c r="B3" s="182"/>
      <c r="C3" s="182"/>
      <c r="D3" s="182"/>
      <c r="E3" s="182"/>
      <c r="F3" s="182"/>
      <c r="G3" s="7"/>
    </row>
    <row r="4" spans="1:7" ht="18.75">
      <c r="A4" s="179" t="s">
        <v>110</v>
      </c>
      <c r="B4" s="179"/>
      <c r="C4" s="179"/>
      <c r="D4" s="179"/>
      <c r="E4" s="179"/>
      <c r="F4" s="179"/>
      <c r="G4" s="5"/>
    </row>
    <row r="5" spans="1:7" ht="18.75">
      <c r="A5" s="179"/>
      <c r="B5" s="179"/>
      <c r="C5" s="179"/>
      <c r="D5" s="179"/>
      <c r="E5" s="179"/>
      <c r="F5" s="179"/>
      <c r="G5" s="5"/>
    </row>
    <row r="6" spans="1:7" ht="18.75">
      <c r="A6" s="5"/>
      <c r="B6" s="5"/>
      <c r="C6" s="5"/>
      <c r="D6" s="5"/>
      <c r="E6" s="5"/>
      <c r="F6" s="5"/>
      <c r="G6" s="5"/>
    </row>
    <row r="7" spans="1:7" ht="22.5">
      <c r="A7" s="8"/>
      <c r="B7" s="9" t="s">
        <v>5</v>
      </c>
      <c r="C7" s="5">
        <v>3439.6</v>
      </c>
      <c r="D7" s="5" t="s">
        <v>31</v>
      </c>
      <c r="E7" s="10"/>
      <c r="F7" s="10"/>
      <c r="G7" s="10"/>
    </row>
    <row r="8" spans="1:7" ht="18.75">
      <c r="A8" s="8"/>
      <c r="B8" s="5"/>
      <c r="C8" s="5"/>
      <c r="D8" s="5"/>
      <c r="E8" s="5"/>
      <c r="F8" s="5"/>
      <c r="G8" s="5"/>
    </row>
    <row r="9" spans="1:7" ht="12.75" customHeight="1">
      <c r="A9" s="184" t="s">
        <v>8</v>
      </c>
      <c r="B9" s="184" t="s">
        <v>6</v>
      </c>
      <c r="C9" s="185" t="s">
        <v>32</v>
      </c>
      <c r="D9" s="186"/>
      <c r="E9" s="178" t="s">
        <v>947</v>
      </c>
      <c r="F9" s="178" t="s">
        <v>948</v>
      </c>
      <c r="G9" s="178" t="s">
        <v>946</v>
      </c>
    </row>
    <row r="10" spans="1:7" ht="63" customHeight="1">
      <c r="A10" s="184"/>
      <c r="B10" s="184"/>
      <c r="C10" s="187"/>
      <c r="D10" s="188"/>
      <c r="E10" s="178"/>
      <c r="F10" s="178"/>
      <c r="G10" s="178"/>
    </row>
    <row r="11" spans="1:7" ht="90.75" customHeight="1">
      <c r="A11" s="184"/>
      <c r="B11" s="184"/>
      <c r="C11" s="87" t="s">
        <v>107</v>
      </c>
      <c r="D11" s="87" t="s">
        <v>106</v>
      </c>
      <c r="E11" s="178"/>
      <c r="F11" s="178"/>
      <c r="G11" s="178"/>
    </row>
    <row r="12" spans="1:7" ht="56.25">
      <c r="A12" s="13" t="s">
        <v>12</v>
      </c>
      <c r="B12" s="14" t="s">
        <v>20</v>
      </c>
      <c r="C12" s="33"/>
      <c r="D12" s="33"/>
      <c r="E12" s="33"/>
      <c r="F12" s="33"/>
      <c r="G12" s="13"/>
    </row>
    <row r="13" spans="1:9" ht="18.75">
      <c r="A13" s="15" t="s">
        <v>13</v>
      </c>
      <c r="B13" s="14" t="s">
        <v>10</v>
      </c>
      <c r="C13" s="34">
        <v>1.09</v>
      </c>
      <c r="D13" s="34">
        <v>1.14</v>
      </c>
      <c r="E13" s="34">
        <f aca="true" t="shared" si="0" ref="E13:E18">H13*(C13+D13)*6</f>
        <v>46021.848</v>
      </c>
      <c r="F13" s="34">
        <f>E13</f>
        <v>46021.848</v>
      </c>
      <c r="G13" s="16">
        <f aca="true" t="shared" si="1" ref="G13:G18">H13*I13*12</f>
        <v>47053.727999999996</v>
      </c>
      <c r="H13">
        <f>C7</f>
        <v>3439.6</v>
      </c>
      <c r="I13" s="34">
        <v>1.14</v>
      </c>
    </row>
    <row r="14" spans="1:9" ht="26.25" customHeight="1">
      <c r="A14" s="15" t="s">
        <v>14</v>
      </c>
      <c r="B14" s="14" t="s">
        <v>15</v>
      </c>
      <c r="C14" s="34">
        <v>1.39</v>
      </c>
      <c r="D14" s="34">
        <v>1.46</v>
      </c>
      <c r="E14" s="34">
        <f t="shared" si="0"/>
        <v>58817.15999999999</v>
      </c>
      <c r="F14" s="34">
        <f>E14</f>
        <v>58817.15999999999</v>
      </c>
      <c r="G14" s="16">
        <f t="shared" si="1"/>
        <v>60261.792</v>
      </c>
      <c r="H14">
        <f>H13</f>
        <v>3439.6</v>
      </c>
      <c r="I14" s="34">
        <v>1.46</v>
      </c>
    </row>
    <row r="15" spans="1:9" ht="18.75">
      <c r="A15" s="15" t="s">
        <v>16</v>
      </c>
      <c r="B15" s="14" t="s">
        <v>7</v>
      </c>
      <c r="C15" s="34"/>
      <c r="D15" s="34"/>
      <c r="E15" s="34"/>
      <c r="F15" s="34"/>
      <c r="G15" s="16"/>
      <c r="H15">
        <f>H14</f>
        <v>3439.6</v>
      </c>
      <c r="I15" s="34">
        <v>0</v>
      </c>
    </row>
    <row r="16" spans="1:9" ht="18.75">
      <c r="A16" s="15" t="s">
        <v>21</v>
      </c>
      <c r="B16" s="14" t="s">
        <v>11</v>
      </c>
      <c r="C16" s="34">
        <v>0.82</v>
      </c>
      <c r="D16" s="34">
        <v>0.58</v>
      </c>
      <c r="E16" s="34">
        <f t="shared" si="0"/>
        <v>28892.64</v>
      </c>
      <c r="F16" s="34">
        <f>E16</f>
        <v>28892.64</v>
      </c>
      <c r="G16" s="16">
        <f t="shared" si="1"/>
        <v>23939.615999999998</v>
      </c>
      <c r="H16">
        <f>H15</f>
        <v>3439.6</v>
      </c>
      <c r="I16" s="34">
        <v>0.58</v>
      </c>
    </row>
    <row r="17" spans="1:9" ht="18.75">
      <c r="A17" s="15" t="s">
        <v>22</v>
      </c>
      <c r="B17" s="14" t="s">
        <v>19</v>
      </c>
      <c r="C17" s="34">
        <v>1.24</v>
      </c>
      <c r="D17" s="34">
        <v>1.24</v>
      </c>
      <c r="E17" s="34">
        <f t="shared" si="0"/>
        <v>51181.24800000001</v>
      </c>
      <c r="F17" s="34">
        <f>E17</f>
        <v>51181.24800000001</v>
      </c>
      <c r="G17" s="16">
        <f t="shared" si="1"/>
        <v>51181.24800000001</v>
      </c>
      <c r="H17">
        <f>H16</f>
        <v>3439.6</v>
      </c>
      <c r="I17" s="34">
        <v>1.24</v>
      </c>
    </row>
    <row r="18" spans="1:9" ht="56.25">
      <c r="A18" s="15" t="s">
        <v>23</v>
      </c>
      <c r="B18" s="14" t="s">
        <v>24</v>
      </c>
      <c r="C18" s="34">
        <v>4.47</v>
      </c>
      <c r="D18" s="34">
        <v>5.18</v>
      </c>
      <c r="E18" s="34">
        <f t="shared" si="0"/>
        <v>199152.83999999997</v>
      </c>
      <c r="F18" s="98">
        <f>F20+F21+F22+F24+F25+F27+F28+F30+F31+F33+F34+F35+F37+F39+F40+F42+F43+F45+F46+F48+F49+F51+F52+F53+F55+F56</f>
        <v>189645.44999999998</v>
      </c>
      <c r="G18" s="16">
        <f t="shared" si="1"/>
        <v>213805.53599999996</v>
      </c>
      <c r="H18">
        <f>H17</f>
        <v>3439.6</v>
      </c>
      <c r="I18" s="34">
        <v>5.18</v>
      </c>
    </row>
    <row r="19" spans="1:7" ht="18.75">
      <c r="A19" s="13"/>
      <c r="B19" s="34" t="s">
        <v>75</v>
      </c>
      <c r="C19" s="34"/>
      <c r="D19" s="34"/>
      <c r="E19" s="34"/>
      <c r="F19" s="99"/>
      <c r="G19" s="16"/>
    </row>
    <row r="20" spans="1:7" ht="21.75" customHeight="1">
      <c r="A20" s="15"/>
      <c r="B20" s="14" t="s">
        <v>111</v>
      </c>
      <c r="C20" s="34"/>
      <c r="D20" s="34"/>
      <c r="E20" s="34"/>
      <c r="F20" s="100">
        <v>313.74</v>
      </c>
      <c r="G20" s="16"/>
    </row>
    <row r="21" spans="1:7" ht="21.75" customHeight="1">
      <c r="A21" s="15"/>
      <c r="B21" s="14" t="s">
        <v>113</v>
      </c>
      <c r="C21" s="34"/>
      <c r="D21" s="34"/>
      <c r="E21" s="75"/>
      <c r="F21" s="100">
        <v>280.41</v>
      </c>
      <c r="G21" s="135"/>
    </row>
    <row r="22" spans="1:7" ht="40.5" customHeight="1">
      <c r="A22" s="15"/>
      <c r="B22" s="14" t="s">
        <v>112</v>
      </c>
      <c r="C22" s="34"/>
      <c r="D22" s="34"/>
      <c r="E22" s="75"/>
      <c r="F22" s="99">
        <v>6622.41</v>
      </c>
      <c r="G22" s="135"/>
    </row>
    <row r="23" spans="1:7" ht="18.75">
      <c r="A23" s="15"/>
      <c r="B23" s="33" t="s">
        <v>88</v>
      </c>
      <c r="C23" s="34"/>
      <c r="D23" s="34"/>
      <c r="E23" s="34"/>
      <c r="F23" s="118"/>
      <c r="G23" s="16"/>
    </row>
    <row r="24" spans="1:7" ht="18.75">
      <c r="A24" s="15"/>
      <c r="B24" s="83" t="s">
        <v>115</v>
      </c>
      <c r="C24" s="34"/>
      <c r="D24" s="34"/>
      <c r="E24" s="34"/>
      <c r="F24" s="118">
        <v>2353.62</v>
      </c>
      <c r="G24" s="16"/>
    </row>
    <row r="25" spans="1:7" ht="56.25" customHeight="1">
      <c r="A25" s="15"/>
      <c r="B25" s="14" t="s">
        <v>114</v>
      </c>
      <c r="C25" s="34"/>
      <c r="D25" s="34"/>
      <c r="E25" s="34"/>
      <c r="F25" s="99">
        <v>9803.04</v>
      </c>
      <c r="G25" s="16"/>
    </row>
    <row r="26" spans="1:7" ht="21.75" customHeight="1">
      <c r="A26" s="15"/>
      <c r="B26" s="33" t="s">
        <v>116</v>
      </c>
      <c r="C26" s="34"/>
      <c r="D26" s="34"/>
      <c r="E26" s="34"/>
      <c r="F26" s="99"/>
      <c r="G26" s="16"/>
    </row>
    <row r="27" spans="1:7" ht="60" customHeight="1">
      <c r="A27" s="15"/>
      <c r="B27" s="83" t="s">
        <v>117</v>
      </c>
      <c r="C27" s="34"/>
      <c r="D27" s="34"/>
      <c r="E27" s="34"/>
      <c r="F27" s="99">
        <v>8117.21</v>
      </c>
      <c r="G27" s="16"/>
    </row>
    <row r="28" spans="1:7" ht="22.5" customHeight="1">
      <c r="A28" s="15"/>
      <c r="B28" s="83" t="s">
        <v>118</v>
      </c>
      <c r="C28" s="34"/>
      <c r="D28" s="34"/>
      <c r="E28" s="34"/>
      <c r="F28" s="99">
        <v>1905.44</v>
      </c>
      <c r="G28" s="16"/>
    </row>
    <row r="29" spans="1:7" ht="18.75">
      <c r="A29" s="15"/>
      <c r="B29" s="33" t="s">
        <v>90</v>
      </c>
      <c r="C29" s="34"/>
      <c r="D29" s="34"/>
      <c r="E29" s="34"/>
      <c r="F29" s="99"/>
      <c r="G29" s="16"/>
    </row>
    <row r="30" spans="1:7" ht="37.5">
      <c r="A30" s="13"/>
      <c r="B30" s="14" t="s">
        <v>119</v>
      </c>
      <c r="C30" s="34"/>
      <c r="D30" s="34"/>
      <c r="E30" s="34"/>
      <c r="F30" s="99">
        <v>3072.44</v>
      </c>
      <c r="G30" s="16"/>
    </row>
    <row r="31" spans="1:7" ht="18.75">
      <c r="A31" s="13"/>
      <c r="B31" s="14" t="s">
        <v>120</v>
      </c>
      <c r="C31" s="34"/>
      <c r="D31" s="34"/>
      <c r="E31" s="34"/>
      <c r="F31" s="99">
        <v>262.17</v>
      </c>
      <c r="G31" s="16"/>
    </row>
    <row r="32" spans="1:7" ht="18.75">
      <c r="A32" s="13"/>
      <c r="B32" s="33" t="s">
        <v>91</v>
      </c>
      <c r="C32" s="34"/>
      <c r="D32" s="34"/>
      <c r="E32" s="34"/>
      <c r="F32" s="99"/>
      <c r="G32" s="16"/>
    </row>
    <row r="33" spans="1:7" ht="37.5">
      <c r="A33" s="13"/>
      <c r="B33" s="14" t="s">
        <v>121</v>
      </c>
      <c r="C33" s="34"/>
      <c r="D33" s="34"/>
      <c r="E33" s="34"/>
      <c r="F33" s="99">
        <v>14857.17</v>
      </c>
      <c r="G33" s="16"/>
    </row>
    <row r="34" spans="1:7" ht="18.75">
      <c r="A34" s="13"/>
      <c r="B34" s="14" t="s">
        <v>122</v>
      </c>
      <c r="C34" s="34"/>
      <c r="D34" s="34"/>
      <c r="E34" s="34"/>
      <c r="F34" s="99">
        <v>311.31</v>
      </c>
      <c r="G34" s="16"/>
    </row>
    <row r="35" spans="1:7" ht="37.5">
      <c r="A35" s="13"/>
      <c r="B35" s="14" t="s">
        <v>123</v>
      </c>
      <c r="C35" s="34"/>
      <c r="D35" s="34"/>
      <c r="E35" s="34"/>
      <c r="F35" s="99">
        <v>357.67</v>
      </c>
      <c r="G35" s="16"/>
    </row>
    <row r="36" spans="1:7" ht="18.75">
      <c r="A36" s="13"/>
      <c r="B36" s="33" t="s">
        <v>124</v>
      </c>
      <c r="C36" s="34"/>
      <c r="D36" s="34"/>
      <c r="E36" s="34"/>
      <c r="F36" s="99"/>
      <c r="G36" s="16"/>
    </row>
    <row r="37" spans="1:7" ht="56.25">
      <c r="A37" s="13"/>
      <c r="B37" s="14" t="s">
        <v>125</v>
      </c>
      <c r="C37" s="34"/>
      <c r="D37" s="34"/>
      <c r="E37" s="34"/>
      <c r="F37" s="99">
        <v>17205.11</v>
      </c>
      <c r="G37" s="16"/>
    </row>
    <row r="38" spans="1:7" ht="18.75" customHeight="1">
      <c r="A38" s="12"/>
      <c r="B38" s="33" t="s">
        <v>93</v>
      </c>
      <c r="C38" s="34"/>
      <c r="D38" s="34"/>
      <c r="E38" s="34"/>
      <c r="F38" s="99"/>
      <c r="G38" s="16"/>
    </row>
    <row r="39" spans="1:7" ht="36" customHeight="1">
      <c r="A39" s="12"/>
      <c r="B39" s="14" t="s">
        <v>126</v>
      </c>
      <c r="C39" s="34"/>
      <c r="D39" s="34"/>
      <c r="E39" s="34"/>
      <c r="F39" s="99">
        <v>13368.64</v>
      </c>
      <c r="G39" s="16"/>
    </row>
    <row r="40" spans="1:7" ht="37.5">
      <c r="A40" s="12"/>
      <c r="B40" s="14" t="s">
        <v>127</v>
      </c>
      <c r="C40" s="34"/>
      <c r="D40" s="34"/>
      <c r="E40" s="34"/>
      <c r="F40" s="99">
        <v>2122.92</v>
      </c>
      <c r="G40" s="16"/>
    </row>
    <row r="41" spans="1:7" ht="18.75">
      <c r="A41" s="12"/>
      <c r="B41" s="33" t="s">
        <v>94</v>
      </c>
      <c r="C41" s="34"/>
      <c r="D41" s="34"/>
      <c r="E41" s="34"/>
      <c r="F41" s="99"/>
      <c r="G41" s="16"/>
    </row>
    <row r="42" spans="1:7" ht="56.25">
      <c r="A42" s="12"/>
      <c r="B42" s="14" t="s">
        <v>128</v>
      </c>
      <c r="C42" s="34"/>
      <c r="D42" s="34"/>
      <c r="E42" s="34"/>
      <c r="F42" s="99">
        <v>26022.35</v>
      </c>
      <c r="G42" s="16"/>
    </row>
    <row r="43" spans="1:7" ht="18.75">
      <c r="A43" s="12"/>
      <c r="B43" s="14" t="s">
        <v>129</v>
      </c>
      <c r="C43" s="34"/>
      <c r="D43" s="34"/>
      <c r="E43" s="34"/>
      <c r="F43" s="99">
        <v>220.93</v>
      </c>
      <c r="G43" s="16"/>
    </row>
    <row r="44" spans="1:7" ht="18.75">
      <c r="A44" s="12"/>
      <c r="B44" s="33" t="s">
        <v>98</v>
      </c>
      <c r="C44" s="34"/>
      <c r="D44" s="34"/>
      <c r="E44" s="34"/>
      <c r="F44" s="99"/>
      <c r="G44" s="16"/>
    </row>
    <row r="45" spans="1:7" ht="37.5">
      <c r="A45" s="12"/>
      <c r="B45" s="33" t="s">
        <v>130</v>
      </c>
      <c r="C45" s="34"/>
      <c r="D45" s="34"/>
      <c r="E45" s="34"/>
      <c r="F45" s="99">
        <v>13379.36</v>
      </c>
      <c r="G45" s="16"/>
    </row>
    <row r="46" spans="1:7" ht="18.75">
      <c r="A46" s="12"/>
      <c r="B46" s="33" t="s">
        <v>131</v>
      </c>
      <c r="C46" s="34"/>
      <c r="D46" s="34"/>
      <c r="E46" s="34"/>
      <c r="F46" s="99">
        <v>5087.5</v>
      </c>
      <c r="G46" s="16"/>
    </row>
    <row r="47" spans="1:7" ht="18.75">
      <c r="A47" s="12"/>
      <c r="B47" s="33" t="s">
        <v>95</v>
      </c>
      <c r="C47" s="34"/>
      <c r="D47" s="34"/>
      <c r="E47" s="34"/>
      <c r="F47" s="99"/>
      <c r="G47" s="16"/>
    </row>
    <row r="48" spans="1:7" ht="37.5">
      <c r="A48" s="12"/>
      <c r="B48" s="14" t="s">
        <v>132</v>
      </c>
      <c r="C48" s="34"/>
      <c r="D48" s="34"/>
      <c r="E48" s="34"/>
      <c r="F48" s="99">
        <v>23456.8</v>
      </c>
      <c r="G48" s="16"/>
    </row>
    <row r="49" spans="1:7" ht="18.75">
      <c r="A49" s="12"/>
      <c r="B49" s="14" t="s">
        <v>133</v>
      </c>
      <c r="C49" s="34"/>
      <c r="D49" s="34"/>
      <c r="E49" s="34"/>
      <c r="F49" s="99">
        <v>331.08</v>
      </c>
      <c r="G49" s="16"/>
    </row>
    <row r="50" spans="1:7" ht="18.75">
      <c r="A50" s="12"/>
      <c r="B50" s="33" t="s">
        <v>96</v>
      </c>
      <c r="C50" s="34"/>
      <c r="D50" s="34"/>
      <c r="E50" s="34"/>
      <c r="F50" s="99"/>
      <c r="G50" s="16"/>
    </row>
    <row r="51" spans="1:7" ht="37.5">
      <c r="A51" s="12"/>
      <c r="B51" s="14" t="s">
        <v>134</v>
      </c>
      <c r="C51" s="34"/>
      <c r="D51" s="34"/>
      <c r="E51" s="34"/>
      <c r="F51" s="99">
        <v>11126.61</v>
      </c>
      <c r="G51" s="16"/>
    </row>
    <row r="52" spans="1:7" ht="18.75">
      <c r="A52" s="12"/>
      <c r="B52" s="14" t="s">
        <v>135</v>
      </c>
      <c r="C52" s="34"/>
      <c r="D52" s="34"/>
      <c r="E52" s="34"/>
      <c r="F52" s="99">
        <v>396.96</v>
      </c>
      <c r="G52" s="16"/>
    </row>
    <row r="53" spans="1:7" ht="18.75">
      <c r="A53" s="12"/>
      <c r="B53" s="14" t="s">
        <v>136</v>
      </c>
      <c r="C53" s="34"/>
      <c r="D53" s="34"/>
      <c r="E53" s="34"/>
      <c r="F53" s="99">
        <v>22154.64</v>
      </c>
      <c r="G53" s="16"/>
    </row>
    <row r="54" spans="1:7" ht="18.75">
      <c r="A54" s="12"/>
      <c r="B54" s="33" t="s">
        <v>97</v>
      </c>
      <c r="C54" s="34"/>
      <c r="D54" s="34"/>
      <c r="E54" s="34"/>
      <c r="F54" s="99"/>
      <c r="G54" s="16"/>
    </row>
    <row r="55" spans="1:7" ht="18.75">
      <c r="A55" s="12"/>
      <c r="B55" s="14" t="s">
        <v>242</v>
      </c>
      <c r="C55" s="34"/>
      <c r="D55" s="34"/>
      <c r="E55" s="34"/>
      <c r="F55" s="99">
        <v>6065.91</v>
      </c>
      <c r="G55" s="16"/>
    </row>
    <row r="56" spans="1:7" ht="18.75">
      <c r="A56" s="12"/>
      <c r="B56" s="14" t="s">
        <v>243</v>
      </c>
      <c r="C56" s="34"/>
      <c r="D56" s="34"/>
      <c r="E56" s="34"/>
      <c r="F56" s="99">
        <v>450.01</v>
      </c>
      <c r="G56" s="16"/>
    </row>
    <row r="57" spans="1:7" ht="37.5">
      <c r="A57" s="12"/>
      <c r="B57" s="14" t="s">
        <v>943</v>
      </c>
      <c r="C57" s="34"/>
      <c r="D57" s="34"/>
      <c r="E57" s="34">
        <f>-17274.57+1031.82</f>
        <v>-16242.75</v>
      </c>
      <c r="F57" s="99">
        <f>E57</f>
        <v>-16242.75</v>
      </c>
      <c r="G57" s="16"/>
    </row>
    <row r="58" spans="1:7" ht="18.75">
      <c r="A58" s="12"/>
      <c r="B58" s="14" t="s">
        <v>9</v>
      </c>
      <c r="C58" s="33">
        <f>SUM(C13:C40)</f>
        <v>9.01</v>
      </c>
      <c r="D58" s="33">
        <f>SUM(D13:D40)</f>
        <v>9.6</v>
      </c>
      <c r="E58" s="34">
        <f>SUM(E13:E56)+E57</f>
        <v>367822.986</v>
      </c>
      <c r="F58" s="98">
        <f>F13+F14+F15+F16+F17+F18+F57</f>
        <v>358315.596</v>
      </c>
      <c r="G58" s="34">
        <f>SUM(G13:G56)</f>
        <v>396241.92</v>
      </c>
    </row>
    <row r="59" spans="1:9" ht="18.75">
      <c r="A59" s="13">
        <v>5</v>
      </c>
      <c r="B59" s="25" t="s">
        <v>26</v>
      </c>
      <c r="C59" s="13">
        <v>1.58</v>
      </c>
      <c r="D59" s="13">
        <v>1.85</v>
      </c>
      <c r="E59" s="34">
        <f>H59*(C59+D59)*6</f>
        <v>70786.968</v>
      </c>
      <c r="F59" s="101">
        <f>E59</f>
        <v>70786.968</v>
      </c>
      <c r="G59" s="16">
        <f>I59*H59*12</f>
        <v>78010.128</v>
      </c>
      <c r="H59">
        <f>H18</f>
        <v>3439.6</v>
      </c>
      <c r="I59">
        <v>1.89</v>
      </c>
    </row>
    <row r="60" spans="1:7" ht="18.75">
      <c r="A60" s="10"/>
      <c r="B60" s="26"/>
      <c r="C60" s="10"/>
      <c r="D60" s="10"/>
      <c r="E60" s="10"/>
      <c r="F60" s="10"/>
      <c r="G60" s="10"/>
    </row>
    <row r="61" spans="1:7" ht="18.75">
      <c r="A61" s="179" t="s">
        <v>941</v>
      </c>
      <c r="B61" s="179"/>
      <c r="C61" s="183">
        <v>78507.66</v>
      </c>
      <c r="D61" s="183"/>
      <c r="E61" s="6" t="s">
        <v>18</v>
      </c>
      <c r="F61" s="10"/>
      <c r="G61" s="10"/>
    </row>
    <row r="62" spans="1:7" ht="18.75">
      <c r="A62" s="179" t="s">
        <v>942</v>
      </c>
      <c r="B62" s="179"/>
      <c r="C62" s="183">
        <v>72123.49</v>
      </c>
      <c r="D62" s="183"/>
      <c r="E62" s="6" t="s">
        <v>18</v>
      </c>
      <c r="F62" s="10"/>
      <c r="G62" s="10"/>
    </row>
    <row r="63" spans="1:7" ht="18.75">
      <c r="A63" s="180" t="s">
        <v>17</v>
      </c>
      <c r="B63" s="180"/>
      <c r="C63" s="180"/>
      <c r="D63" s="180"/>
      <c r="E63" s="180"/>
      <c r="F63" s="180"/>
      <c r="G63" s="9"/>
    </row>
    <row r="64" spans="1:7" ht="18.75" customHeight="1" hidden="1">
      <c r="A64" s="181" t="s">
        <v>35</v>
      </c>
      <c r="B64" s="181"/>
      <c r="C64" s="5" t="e">
        <f>C61-#REF!</f>
        <v>#REF!</v>
      </c>
      <c r="D64" s="10" t="s">
        <v>18</v>
      </c>
      <c r="E64" s="10"/>
      <c r="F64" s="10"/>
      <c r="G64" s="10"/>
    </row>
    <row r="65" spans="1:7" ht="18.75" customHeight="1" hidden="1">
      <c r="A65" s="181" t="s">
        <v>36</v>
      </c>
      <c r="B65" s="181"/>
      <c r="C65" s="85">
        <f>E58-F58</f>
        <v>9507.389999999956</v>
      </c>
      <c r="D65" s="84" t="str">
        <f>D64</f>
        <v>рублей</v>
      </c>
      <c r="E65" s="30"/>
      <c r="F65" s="30"/>
      <c r="G65" s="30"/>
    </row>
  </sheetData>
  <sheetProtection/>
  <mergeCells count="16">
    <mergeCell ref="A1:F2"/>
    <mergeCell ref="A3:F3"/>
    <mergeCell ref="A4:F5"/>
    <mergeCell ref="C61:D61"/>
    <mergeCell ref="C62:D62"/>
    <mergeCell ref="G9:G11"/>
    <mergeCell ref="F9:F11"/>
    <mergeCell ref="A9:A11"/>
    <mergeCell ref="B9:B11"/>
    <mergeCell ref="C9:D10"/>
    <mergeCell ref="E9:E11"/>
    <mergeCell ref="A61:B61"/>
    <mergeCell ref="A62:B62"/>
    <mergeCell ref="A63:F63"/>
    <mergeCell ref="A64:B64"/>
    <mergeCell ref="A65:B6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4" r:id="rId1"/>
  <rowBreaks count="1" manualBreakCount="1">
    <brk id="4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B73"/>
  <sheetViews>
    <sheetView view="pageBreakPreview" zoomScale="75" zoomScaleSheetLayoutView="75" zoomScalePageLayoutView="0" workbookViewId="0" topLeftCell="A43">
      <selection activeCell="AH75" sqref="AH75"/>
    </sheetView>
  </sheetViews>
  <sheetFormatPr defaultColWidth="9.00390625" defaultRowHeight="12.75"/>
  <cols>
    <col min="1" max="1" width="9.25390625" style="0" bestFit="1" customWidth="1"/>
    <col min="2" max="2" width="48.125" style="0" customWidth="1"/>
    <col min="3" max="3" width="11.125" style="0" customWidth="1"/>
    <col min="4" max="4" width="12.25390625" style="0" customWidth="1"/>
    <col min="5" max="5" width="13.375" style="0" customWidth="1"/>
    <col min="6" max="6" width="17.125" style="0" customWidth="1"/>
    <col min="7" max="7" width="15.25390625" style="0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5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48" customHeight="1">
      <c r="A3" s="182" t="s">
        <v>43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3346.7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184" t="s">
        <v>8</v>
      </c>
      <c r="B9" s="184" t="s">
        <v>6</v>
      </c>
      <c r="C9" s="185" t="s">
        <v>32</v>
      </c>
      <c r="D9" s="186"/>
      <c r="E9" s="189" t="s">
        <v>99</v>
      </c>
      <c r="F9" s="178" t="s">
        <v>74</v>
      </c>
      <c r="G9" s="178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57" customHeight="1">
      <c r="A10" s="184"/>
      <c r="B10" s="184"/>
      <c r="C10" s="187"/>
      <c r="D10" s="188"/>
      <c r="E10" s="190"/>
      <c r="F10" s="178"/>
      <c r="G10" s="178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111.75" customHeight="1">
      <c r="A11" s="184"/>
      <c r="B11" s="184"/>
      <c r="C11" s="87" t="s">
        <v>107</v>
      </c>
      <c r="D11" s="87" t="s">
        <v>106</v>
      </c>
      <c r="E11" s="191"/>
      <c r="F11" s="178"/>
      <c r="G11" s="178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13" t="s">
        <v>12</v>
      </c>
      <c r="B12" s="14" t="s">
        <v>20</v>
      </c>
      <c r="C12" s="13"/>
      <c r="D12" s="13"/>
      <c r="E12" s="13"/>
      <c r="F12" s="33"/>
      <c r="G12" s="3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28" ht="18.75">
      <c r="A13" s="15" t="s">
        <v>13</v>
      </c>
      <c r="B13" s="14" t="s">
        <v>10</v>
      </c>
      <c r="C13" s="34">
        <v>1.09</v>
      </c>
      <c r="D13" s="34">
        <v>1.14</v>
      </c>
      <c r="E13" s="16">
        <f aca="true" t="shared" si="0" ref="E13:E18">Z13*AA13*6</f>
        <v>44778.846</v>
      </c>
      <c r="F13" s="34">
        <f>E13</f>
        <v>44778.846</v>
      </c>
      <c r="G13" s="34">
        <f aca="true" t="shared" si="1" ref="G13:G18">Z13*AB13*12</f>
        <v>45782.85599999999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3346.7</v>
      </c>
      <c r="K13">
        <v>6</v>
      </c>
      <c r="L13">
        <v>2</v>
      </c>
      <c r="M13">
        <v>4</v>
      </c>
      <c r="N13" s="20">
        <f aca="true" t="shared" si="4" ref="N13:N18">C13*J13*K13</f>
        <v>21887.418</v>
      </c>
      <c r="O13" s="20" t="e">
        <f>J13*#REF!*L13</f>
        <v>#REF!</v>
      </c>
      <c r="P13" s="20">
        <f aca="true" t="shared" si="5" ref="P13:P18">D13*J13*M13</f>
        <v>15260.951999999997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21084.21</v>
      </c>
      <c r="W13">
        <f aca="true" t="shared" si="8" ref="W13:W18">U13*S13*J13</f>
        <v>21887.418</v>
      </c>
      <c r="X13">
        <f aca="true" t="shared" si="9" ref="X13:X18">SUM(V13:W13)</f>
        <v>42971.628</v>
      </c>
      <c r="Z13">
        <f>C7</f>
        <v>3346.7</v>
      </c>
      <c r="AA13" s="22">
        <f aca="true" t="shared" si="10" ref="AA13:AA18">C13+D13</f>
        <v>2.23</v>
      </c>
      <c r="AB13" s="34">
        <v>1.14</v>
      </c>
    </row>
    <row r="14" spans="1:28" ht="37.5">
      <c r="A14" s="15" t="s">
        <v>14</v>
      </c>
      <c r="B14" s="14" t="s">
        <v>15</v>
      </c>
      <c r="C14" s="34">
        <v>1.39</v>
      </c>
      <c r="D14" s="34">
        <v>1.46</v>
      </c>
      <c r="E14" s="16">
        <f t="shared" si="0"/>
        <v>57228.569999999985</v>
      </c>
      <c r="F14" s="34">
        <f>E14</f>
        <v>57228.569999999985</v>
      </c>
      <c r="G14" s="34">
        <f t="shared" si="1"/>
        <v>58634.183999999994</v>
      </c>
      <c r="H14" s="17">
        <f t="shared" si="2"/>
        <v>1.4594110115189</v>
      </c>
      <c r="I14" s="18">
        <f t="shared" si="3"/>
        <v>1.5572983354607999</v>
      </c>
      <c r="J14" s="19">
        <f>J13</f>
        <v>3346.7</v>
      </c>
      <c r="K14">
        <v>6</v>
      </c>
      <c r="L14">
        <v>2</v>
      </c>
      <c r="M14">
        <v>4</v>
      </c>
      <c r="N14" s="20">
        <f t="shared" si="4"/>
        <v>27911.477999999996</v>
      </c>
      <c r="O14" s="20" t="e">
        <f>J14*#REF!*L14</f>
        <v>#REF!</v>
      </c>
      <c r="P14" s="20">
        <f t="shared" si="5"/>
        <v>19544.728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26706.665999999997</v>
      </c>
      <c r="W14">
        <f t="shared" si="8"/>
        <v>27911.478</v>
      </c>
      <c r="X14">
        <f t="shared" si="9"/>
        <v>54618.144</v>
      </c>
      <c r="Z14">
        <f>Z13</f>
        <v>3346.7</v>
      </c>
      <c r="AA14" s="22">
        <f t="shared" si="10"/>
        <v>2.8499999999999996</v>
      </c>
      <c r="AB14" s="34">
        <v>1.46</v>
      </c>
    </row>
    <row r="15" spans="1:28" ht="18.75">
      <c r="A15" s="15" t="s">
        <v>16</v>
      </c>
      <c r="B15" s="14" t="s">
        <v>7</v>
      </c>
      <c r="C15" s="34"/>
      <c r="D15" s="34"/>
      <c r="E15" s="16"/>
      <c r="F15" s="34"/>
      <c r="G15" s="34"/>
      <c r="H15" s="17">
        <f t="shared" si="2"/>
        <v>0</v>
      </c>
      <c r="I15" s="18">
        <f t="shared" si="3"/>
        <v>0</v>
      </c>
      <c r="J15" s="19">
        <f>J14</f>
        <v>3346.7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2610.426</v>
      </c>
      <c r="W15">
        <f t="shared" si="8"/>
        <v>0</v>
      </c>
      <c r="X15">
        <f t="shared" si="9"/>
        <v>2610.426</v>
      </c>
      <c r="Z15">
        <f>Z14</f>
        <v>3346.7</v>
      </c>
      <c r="AA15" s="22">
        <f t="shared" si="10"/>
        <v>0</v>
      </c>
      <c r="AB15" s="34">
        <v>0</v>
      </c>
    </row>
    <row r="16" spans="1:28" ht="18.75">
      <c r="A16" s="15" t="s">
        <v>21</v>
      </c>
      <c r="B16" s="14" t="s">
        <v>11</v>
      </c>
      <c r="C16" s="34">
        <v>0.82</v>
      </c>
      <c r="D16" s="34">
        <v>0.58</v>
      </c>
      <c r="E16" s="16">
        <f t="shared" si="0"/>
        <v>28112.279999999995</v>
      </c>
      <c r="F16" s="34">
        <f>E16</f>
        <v>28112.279999999995</v>
      </c>
      <c r="G16" s="34">
        <f t="shared" si="1"/>
        <v>23293.032</v>
      </c>
      <c r="H16" s="17">
        <f t="shared" si="2"/>
        <v>0.8609475031982</v>
      </c>
      <c r="I16" s="18">
        <f t="shared" si="3"/>
        <v>0.9186939820703999</v>
      </c>
      <c r="J16" s="19">
        <f>J15</f>
        <v>3346.7</v>
      </c>
      <c r="K16">
        <v>6</v>
      </c>
      <c r="L16">
        <v>2</v>
      </c>
      <c r="M16">
        <v>4</v>
      </c>
      <c r="N16" s="20">
        <f t="shared" si="4"/>
        <v>16465.764</v>
      </c>
      <c r="O16" s="20" t="e">
        <f>J16*#REF!*L16</f>
        <v>#REF!</v>
      </c>
      <c r="P16" s="20">
        <f t="shared" si="5"/>
        <v>7764.343999999999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15863.358</v>
      </c>
      <c r="W16">
        <f t="shared" si="8"/>
        <v>16465.764</v>
      </c>
      <c r="X16">
        <f t="shared" si="9"/>
        <v>32329.122</v>
      </c>
      <c r="Z16">
        <f>Z15</f>
        <v>3346.7</v>
      </c>
      <c r="AA16" s="22">
        <f t="shared" si="10"/>
        <v>1.4</v>
      </c>
      <c r="AB16" s="34">
        <v>0.58</v>
      </c>
    </row>
    <row r="17" spans="1:28" ht="18.75">
      <c r="A17" s="15" t="s">
        <v>22</v>
      </c>
      <c r="B17" s="14" t="s">
        <v>19</v>
      </c>
      <c r="C17" s="34">
        <v>1.24</v>
      </c>
      <c r="D17" s="34">
        <v>1.24</v>
      </c>
      <c r="E17" s="16">
        <f t="shared" si="0"/>
        <v>49798.89599999999</v>
      </c>
      <c r="F17" s="34">
        <f>E17</f>
        <v>49798.89599999999</v>
      </c>
      <c r="G17" s="34">
        <f t="shared" si="1"/>
        <v>49798.89599999999</v>
      </c>
      <c r="H17" s="17">
        <f t="shared" si="2"/>
        <v>1.3019206145924</v>
      </c>
      <c r="I17" s="18">
        <f t="shared" si="3"/>
        <v>1.3892445582528</v>
      </c>
      <c r="J17" s="19">
        <f>J16</f>
        <v>3346.7</v>
      </c>
      <c r="K17">
        <v>6</v>
      </c>
      <c r="L17">
        <v>2</v>
      </c>
      <c r="M17">
        <v>4</v>
      </c>
      <c r="N17" s="20">
        <f t="shared" si="4"/>
        <v>24899.447999999997</v>
      </c>
      <c r="O17" s="20" t="e">
        <f>J17*#REF!*L17</f>
        <v>#REF!</v>
      </c>
      <c r="P17" s="20">
        <f t="shared" si="5"/>
        <v>16599.631999999998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24899.447999999997</v>
      </c>
      <c r="W17">
        <f t="shared" si="8"/>
        <v>24899.447999999997</v>
      </c>
      <c r="X17">
        <f t="shared" si="9"/>
        <v>49798.89599999999</v>
      </c>
      <c r="Z17">
        <f>Z16</f>
        <v>3346.7</v>
      </c>
      <c r="AA17" s="22">
        <f t="shared" si="10"/>
        <v>2.48</v>
      </c>
      <c r="AB17" s="34">
        <v>1.24</v>
      </c>
    </row>
    <row r="18" spans="1:28" ht="75">
      <c r="A18" s="15" t="s">
        <v>23</v>
      </c>
      <c r="B18" s="14" t="s">
        <v>24</v>
      </c>
      <c r="C18" s="34">
        <v>4.47</v>
      </c>
      <c r="D18" s="34">
        <v>5.18</v>
      </c>
      <c r="E18" s="16">
        <f t="shared" si="0"/>
        <v>193773.92999999996</v>
      </c>
      <c r="F18" s="98">
        <f>F20+F21+F22+F24+F26+F27+F29+F30+F32+F33+F35+F37+F38+F40+F41+F42+F44+F45+F46+F48+F49+F50+F52+F53+F54+F56+F57+F58</f>
        <v>305669.29000000004</v>
      </c>
      <c r="G18" s="34">
        <f t="shared" si="1"/>
        <v>208030.87199999997</v>
      </c>
      <c r="H18" s="17">
        <f t="shared" si="2"/>
        <v>4.6932138284097</v>
      </c>
      <c r="I18" s="18">
        <f t="shared" si="3"/>
        <v>5.008002560798399</v>
      </c>
      <c r="J18" s="19">
        <f>J17</f>
        <v>3346.7</v>
      </c>
      <c r="K18">
        <v>6</v>
      </c>
      <c r="L18">
        <v>2</v>
      </c>
      <c r="M18">
        <v>4</v>
      </c>
      <c r="N18" s="20">
        <f t="shared" si="4"/>
        <v>89758.49399999999</v>
      </c>
      <c r="O18" s="20" t="e">
        <f>J18*#REF!*L18</f>
        <v>#REF!</v>
      </c>
      <c r="P18" s="20">
        <f t="shared" si="5"/>
        <v>69343.624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84537.64199999999</v>
      </c>
      <c r="W18">
        <f t="shared" si="8"/>
        <v>92770.52399999999</v>
      </c>
      <c r="X18">
        <f t="shared" si="9"/>
        <v>177308.16599999997</v>
      </c>
      <c r="Z18">
        <f>Z17</f>
        <v>3346.7</v>
      </c>
      <c r="AA18" s="22">
        <f t="shared" si="10"/>
        <v>9.649999999999999</v>
      </c>
      <c r="AB18" s="34">
        <v>5.18</v>
      </c>
    </row>
    <row r="19" spans="1:19" ht="18.75">
      <c r="A19" s="15"/>
      <c r="B19" s="34" t="s">
        <v>75</v>
      </c>
      <c r="C19" s="34"/>
      <c r="D19" s="34"/>
      <c r="E19" s="34"/>
      <c r="F19" s="98"/>
      <c r="G19" s="34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56.25">
      <c r="A20" s="15"/>
      <c r="B20" s="14" t="s">
        <v>321</v>
      </c>
      <c r="C20" s="34"/>
      <c r="D20" s="34"/>
      <c r="E20" s="34"/>
      <c r="F20" s="98">
        <v>8565.81</v>
      </c>
      <c r="G20" s="34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15"/>
      <c r="B21" s="14" t="s">
        <v>27</v>
      </c>
      <c r="C21" s="34"/>
      <c r="D21" s="34"/>
      <c r="E21" s="34"/>
      <c r="F21" s="98">
        <v>1194.64</v>
      </c>
      <c r="G21" s="34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18.75">
      <c r="A22" s="15"/>
      <c r="B22" s="14" t="s">
        <v>239</v>
      </c>
      <c r="C22" s="34"/>
      <c r="D22" s="34"/>
      <c r="E22" s="34"/>
      <c r="F22" s="98">
        <v>249.96</v>
      </c>
      <c r="G22" s="34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15"/>
      <c r="B23" s="33" t="s">
        <v>88</v>
      </c>
      <c r="C23" s="34"/>
      <c r="D23" s="34"/>
      <c r="E23" s="34"/>
      <c r="F23" s="98"/>
      <c r="G23" s="34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56.25">
      <c r="A24" s="15"/>
      <c r="B24" s="14" t="s">
        <v>322</v>
      </c>
      <c r="C24" s="34"/>
      <c r="D24" s="34"/>
      <c r="E24" s="34"/>
      <c r="F24" s="98">
        <v>11087.77</v>
      </c>
      <c r="G24" s="34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15"/>
      <c r="B25" s="33" t="s">
        <v>89</v>
      </c>
      <c r="C25" s="34"/>
      <c r="D25" s="34"/>
      <c r="E25" s="34"/>
      <c r="F25" s="98"/>
      <c r="G25" s="34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75.75" customHeight="1">
      <c r="A26" s="15"/>
      <c r="B26" s="14" t="s">
        <v>323</v>
      </c>
      <c r="C26" s="34"/>
      <c r="D26" s="34"/>
      <c r="E26" s="34"/>
      <c r="F26" s="98">
        <v>11660.12</v>
      </c>
      <c r="G26" s="34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15"/>
      <c r="B27" s="14" t="s">
        <v>324</v>
      </c>
      <c r="C27" s="34"/>
      <c r="D27" s="34"/>
      <c r="E27" s="34"/>
      <c r="F27" s="98">
        <v>468.76</v>
      </c>
      <c r="G27" s="34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15"/>
      <c r="B28" s="33" t="s">
        <v>90</v>
      </c>
      <c r="C28" s="34"/>
      <c r="D28" s="34"/>
      <c r="E28" s="34"/>
      <c r="F28" s="98"/>
      <c r="G28" s="34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56.25">
      <c r="A29" s="15"/>
      <c r="B29" s="14" t="s">
        <v>325</v>
      </c>
      <c r="C29" s="34"/>
      <c r="D29" s="34"/>
      <c r="E29" s="34"/>
      <c r="F29" s="98">
        <v>8305.06</v>
      </c>
      <c r="G29" s="34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18.75">
      <c r="A30" s="15"/>
      <c r="B30" s="14" t="s">
        <v>148</v>
      </c>
      <c r="C30" s="34"/>
      <c r="D30" s="34"/>
      <c r="E30" s="34"/>
      <c r="F30" s="98">
        <v>258.18</v>
      </c>
      <c r="G30" s="34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15"/>
      <c r="B31" s="33" t="s">
        <v>91</v>
      </c>
      <c r="C31" s="34"/>
      <c r="D31" s="34"/>
      <c r="E31" s="34"/>
      <c r="F31" s="98"/>
      <c r="G31" s="34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56.25">
      <c r="A32" s="15"/>
      <c r="B32" s="14" t="s">
        <v>326</v>
      </c>
      <c r="C32" s="34"/>
      <c r="D32" s="34"/>
      <c r="E32" s="34"/>
      <c r="F32" s="98">
        <v>10792.75</v>
      </c>
      <c r="G32" s="34"/>
      <c r="H32" s="17"/>
      <c r="I32" s="18"/>
      <c r="J32" s="19"/>
      <c r="N32" s="20"/>
      <c r="O32" s="20"/>
      <c r="P32" s="20"/>
      <c r="Q32" s="21"/>
      <c r="R32" s="22"/>
      <c r="S32" s="22"/>
    </row>
    <row r="33" spans="1:19" ht="18.75">
      <c r="A33" s="15"/>
      <c r="B33" s="14" t="s">
        <v>327</v>
      </c>
      <c r="C33" s="34"/>
      <c r="D33" s="34"/>
      <c r="E33" s="34"/>
      <c r="F33" s="98">
        <v>234.4</v>
      </c>
      <c r="G33" s="34"/>
      <c r="H33" s="17"/>
      <c r="I33" s="18"/>
      <c r="J33" s="19"/>
      <c r="N33" s="20"/>
      <c r="O33" s="20"/>
      <c r="P33" s="20"/>
      <c r="Q33" s="21"/>
      <c r="R33" s="22"/>
      <c r="S33" s="22"/>
    </row>
    <row r="34" spans="1:19" ht="18.75">
      <c r="A34" s="15"/>
      <c r="B34" s="33" t="s">
        <v>92</v>
      </c>
      <c r="C34" s="34"/>
      <c r="D34" s="34"/>
      <c r="E34" s="34"/>
      <c r="F34" s="98"/>
      <c r="G34" s="34"/>
      <c r="H34" s="17"/>
      <c r="I34" s="18"/>
      <c r="J34" s="19"/>
      <c r="N34" s="20"/>
      <c r="O34" s="20"/>
      <c r="P34" s="20"/>
      <c r="Q34" s="21"/>
      <c r="R34" s="22"/>
      <c r="S34" s="22"/>
    </row>
    <row r="35" spans="1:24" ht="37.5">
      <c r="A35" s="13"/>
      <c r="B35" s="14" t="s">
        <v>328</v>
      </c>
      <c r="C35" s="34"/>
      <c r="D35" s="34"/>
      <c r="E35" s="34"/>
      <c r="F35" s="98">
        <v>9517.39</v>
      </c>
      <c r="G35" s="34"/>
      <c r="H35" s="17"/>
      <c r="I35" s="18"/>
      <c r="J35" s="19"/>
      <c r="K35">
        <v>6</v>
      </c>
      <c r="L35">
        <v>2</v>
      </c>
      <c r="M35">
        <v>4</v>
      </c>
      <c r="N35" s="20">
        <f>C35*J35*K35</f>
        <v>0</v>
      </c>
      <c r="O35" s="20" t="e">
        <f>J35*#REF!*L35</f>
        <v>#REF!</v>
      </c>
      <c r="P35" s="20">
        <f>D35*J35*M35</f>
        <v>0</v>
      </c>
      <c r="Q35" s="24"/>
      <c r="R35" s="22"/>
      <c r="V35">
        <f>J35*R35*U35</f>
        <v>0</v>
      </c>
      <c r="W35">
        <f>U35*S35*J35</f>
        <v>0</v>
      </c>
      <c r="X35">
        <f>SUM(V35:W35)</f>
        <v>0</v>
      </c>
    </row>
    <row r="36" spans="1:24" ht="18.75">
      <c r="A36" s="15"/>
      <c r="B36" s="33" t="s">
        <v>93</v>
      </c>
      <c r="C36" s="34"/>
      <c r="D36" s="34"/>
      <c r="E36" s="34"/>
      <c r="F36" s="98"/>
      <c r="G36" s="34"/>
      <c r="H36" s="17"/>
      <c r="I36" s="18"/>
      <c r="J36" s="19"/>
      <c r="K36">
        <v>6</v>
      </c>
      <c r="L36">
        <v>2</v>
      </c>
      <c r="M36">
        <v>4</v>
      </c>
      <c r="N36" s="20">
        <f>C36*J36*K36</f>
        <v>0</v>
      </c>
      <c r="O36" s="20" t="e">
        <f>J36*#REF!*L36</f>
        <v>#REF!</v>
      </c>
      <c r="P36" s="20">
        <f>D36*J36*M36</f>
        <v>0</v>
      </c>
      <c r="Q36" s="24"/>
      <c r="R36" s="22"/>
      <c r="V36">
        <f>J36*R36*U36</f>
        <v>0</v>
      </c>
      <c r="W36">
        <f>U36*S36*J36</f>
        <v>0</v>
      </c>
      <c r="X36">
        <f>SUM(V36:W36)</f>
        <v>0</v>
      </c>
    </row>
    <row r="37" spans="1:24" ht="93.75">
      <c r="A37" s="15"/>
      <c r="B37" s="14" t="s">
        <v>329</v>
      </c>
      <c r="C37" s="34"/>
      <c r="D37" s="34"/>
      <c r="E37" s="34"/>
      <c r="F37" s="98">
        <v>16269.69</v>
      </c>
      <c r="G37" s="34"/>
      <c r="H37" s="17"/>
      <c r="I37" s="18"/>
      <c r="J37" s="19"/>
      <c r="K37">
        <v>6</v>
      </c>
      <c r="L37">
        <v>2</v>
      </c>
      <c r="M37">
        <v>4</v>
      </c>
      <c r="N37" s="20">
        <f>C37*J37*K37</f>
        <v>0</v>
      </c>
      <c r="O37" s="20" t="e">
        <f>J37*#REF!*L37</f>
        <v>#REF!</v>
      </c>
      <c r="P37" s="20">
        <f>D37*J37*M37</f>
        <v>0</v>
      </c>
      <c r="Q37" s="24"/>
      <c r="R37" s="22"/>
      <c r="V37">
        <f>J37*R37*U37</f>
        <v>0</v>
      </c>
      <c r="W37">
        <f>U37*S37*J37</f>
        <v>0</v>
      </c>
      <c r="X37">
        <f>SUM(V37:W37)</f>
        <v>0</v>
      </c>
    </row>
    <row r="38" spans="1:18" ht="37.5">
      <c r="A38" s="15"/>
      <c r="B38" s="14" t="s">
        <v>225</v>
      </c>
      <c r="C38" s="34"/>
      <c r="D38" s="34"/>
      <c r="E38" s="34"/>
      <c r="F38" s="98">
        <v>3864.85</v>
      </c>
      <c r="G38" s="34"/>
      <c r="H38" s="17"/>
      <c r="I38" s="18"/>
      <c r="J38" s="19"/>
      <c r="N38" s="20"/>
      <c r="O38" s="20"/>
      <c r="P38" s="20"/>
      <c r="Q38" s="24"/>
      <c r="R38" s="22"/>
    </row>
    <row r="39" spans="1:18" ht="18.75">
      <c r="A39" s="15"/>
      <c r="B39" s="33" t="s">
        <v>94</v>
      </c>
      <c r="C39" s="34"/>
      <c r="D39" s="34"/>
      <c r="E39" s="34"/>
      <c r="F39" s="98"/>
      <c r="G39" s="34"/>
      <c r="H39" s="17"/>
      <c r="I39" s="18"/>
      <c r="J39" s="19"/>
      <c r="N39" s="20"/>
      <c r="O39" s="20"/>
      <c r="P39" s="20"/>
      <c r="Q39" s="24"/>
      <c r="R39" s="22"/>
    </row>
    <row r="40" spans="1:18" ht="56.25">
      <c r="A40" s="15"/>
      <c r="B40" s="14" t="s">
        <v>330</v>
      </c>
      <c r="C40" s="34"/>
      <c r="D40" s="34"/>
      <c r="E40" s="34"/>
      <c r="F40" s="98">
        <v>5651.35</v>
      </c>
      <c r="G40" s="34"/>
      <c r="H40" s="17"/>
      <c r="I40" s="18"/>
      <c r="J40" s="19"/>
      <c r="N40" s="20"/>
      <c r="O40" s="20"/>
      <c r="P40" s="20"/>
      <c r="Q40" s="24"/>
      <c r="R40" s="22"/>
    </row>
    <row r="41" spans="1:18" ht="18.75">
      <c r="A41" s="15"/>
      <c r="B41" s="14" t="s">
        <v>331</v>
      </c>
      <c r="C41" s="34"/>
      <c r="D41" s="34"/>
      <c r="E41" s="34"/>
      <c r="F41" s="98">
        <v>97004.02</v>
      </c>
      <c r="G41" s="34"/>
      <c r="H41" s="17"/>
      <c r="I41" s="18"/>
      <c r="J41" s="19"/>
      <c r="N41" s="20"/>
      <c r="O41" s="20"/>
      <c r="P41" s="20"/>
      <c r="Q41" s="24"/>
      <c r="R41" s="22"/>
    </row>
    <row r="42" spans="1:18" ht="18.75">
      <c r="A42" s="15"/>
      <c r="B42" s="14" t="s">
        <v>332</v>
      </c>
      <c r="C42" s="34"/>
      <c r="D42" s="34"/>
      <c r="E42" s="34"/>
      <c r="F42" s="98">
        <v>240.91</v>
      </c>
      <c r="G42" s="34"/>
      <c r="H42" s="17"/>
      <c r="I42" s="18"/>
      <c r="J42" s="19"/>
      <c r="N42" s="20"/>
      <c r="O42" s="20"/>
      <c r="P42" s="20"/>
      <c r="Q42" s="24"/>
      <c r="R42" s="22"/>
    </row>
    <row r="43" spans="1:18" ht="18.75">
      <c r="A43" s="15"/>
      <c r="B43" s="33" t="s">
        <v>98</v>
      </c>
      <c r="C43" s="34"/>
      <c r="D43" s="34"/>
      <c r="E43" s="34"/>
      <c r="F43" s="98"/>
      <c r="G43" s="34"/>
      <c r="H43" s="17"/>
      <c r="I43" s="18"/>
      <c r="J43" s="19"/>
      <c r="N43" s="20"/>
      <c r="O43" s="20"/>
      <c r="P43" s="20"/>
      <c r="Q43" s="24"/>
      <c r="R43" s="22"/>
    </row>
    <row r="44" spans="1:18" ht="37.5">
      <c r="A44" s="15"/>
      <c r="B44" s="14" t="s">
        <v>333</v>
      </c>
      <c r="C44" s="34"/>
      <c r="D44" s="34"/>
      <c r="E44" s="34"/>
      <c r="F44" s="98">
        <v>9932.32</v>
      </c>
      <c r="G44" s="34"/>
      <c r="H44" s="17"/>
      <c r="I44" s="18"/>
      <c r="J44" s="19"/>
      <c r="N44" s="20"/>
      <c r="O44" s="20"/>
      <c r="P44" s="20"/>
      <c r="Q44" s="24"/>
      <c r="R44" s="22"/>
    </row>
    <row r="45" spans="1:18" ht="37.5">
      <c r="A45" s="15"/>
      <c r="B45" s="14" t="s">
        <v>334</v>
      </c>
      <c r="C45" s="34"/>
      <c r="D45" s="34"/>
      <c r="E45" s="34"/>
      <c r="F45" s="98">
        <v>70142.21</v>
      </c>
      <c r="G45" s="34"/>
      <c r="H45" s="17"/>
      <c r="I45" s="18"/>
      <c r="J45" s="19"/>
      <c r="N45" s="20"/>
      <c r="O45" s="20"/>
      <c r="P45" s="20"/>
      <c r="Q45" s="24"/>
      <c r="R45" s="22"/>
    </row>
    <row r="46" spans="1:18" ht="18.75">
      <c r="A46" s="15"/>
      <c r="B46" s="14" t="s">
        <v>232</v>
      </c>
      <c r="C46" s="34"/>
      <c r="D46" s="34"/>
      <c r="E46" s="34"/>
      <c r="F46" s="98">
        <v>291.14</v>
      </c>
      <c r="G46" s="34"/>
      <c r="H46" s="17"/>
      <c r="I46" s="18"/>
      <c r="J46" s="19"/>
      <c r="N46" s="20"/>
      <c r="O46" s="20"/>
      <c r="P46" s="20"/>
      <c r="Q46" s="24"/>
      <c r="R46" s="22"/>
    </row>
    <row r="47" spans="1:18" ht="18.75">
      <c r="A47" s="15"/>
      <c r="B47" s="33" t="s">
        <v>95</v>
      </c>
      <c r="C47" s="34"/>
      <c r="D47" s="34"/>
      <c r="E47" s="34"/>
      <c r="F47" s="98"/>
      <c r="G47" s="34"/>
      <c r="H47" s="17"/>
      <c r="I47" s="18"/>
      <c r="J47" s="19"/>
      <c r="N47" s="20"/>
      <c r="O47" s="20"/>
      <c r="P47" s="20"/>
      <c r="Q47" s="24"/>
      <c r="R47" s="22"/>
    </row>
    <row r="48" spans="1:18" ht="36" customHeight="1">
      <c r="A48" s="15"/>
      <c r="B48" s="14" t="s">
        <v>335</v>
      </c>
      <c r="C48" s="34"/>
      <c r="D48" s="34"/>
      <c r="E48" s="34"/>
      <c r="F48" s="98">
        <v>13202.37</v>
      </c>
      <c r="G48" s="34"/>
      <c r="H48" s="17"/>
      <c r="I48" s="18"/>
      <c r="J48" s="19"/>
      <c r="N48" s="20"/>
      <c r="O48" s="20"/>
      <c r="P48" s="20"/>
      <c r="Q48" s="24"/>
      <c r="R48" s="22"/>
    </row>
    <row r="49" spans="1:18" ht="18.75">
      <c r="A49" s="15"/>
      <c r="B49" s="14" t="s">
        <v>336</v>
      </c>
      <c r="C49" s="34"/>
      <c r="D49" s="34"/>
      <c r="E49" s="34"/>
      <c r="F49" s="98">
        <v>357.59</v>
      </c>
      <c r="G49" s="34"/>
      <c r="H49" s="17"/>
      <c r="I49" s="18"/>
      <c r="J49" s="19"/>
      <c r="N49" s="20"/>
      <c r="O49" s="20"/>
      <c r="P49" s="20"/>
      <c r="Q49" s="24"/>
      <c r="R49" s="22"/>
    </row>
    <row r="50" spans="1:18" ht="18.75">
      <c r="A50" s="15"/>
      <c r="B50" s="14" t="s">
        <v>337</v>
      </c>
      <c r="C50" s="34"/>
      <c r="D50" s="34"/>
      <c r="E50" s="34"/>
      <c r="F50" s="98">
        <v>2206.77</v>
      </c>
      <c r="G50" s="34"/>
      <c r="H50" s="17"/>
      <c r="I50" s="18"/>
      <c r="J50" s="19"/>
      <c r="N50" s="20"/>
      <c r="O50" s="20"/>
      <c r="P50" s="20"/>
      <c r="Q50" s="24"/>
      <c r="R50" s="22"/>
    </row>
    <row r="51" spans="1:18" ht="18.75">
      <c r="A51" s="15"/>
      <c r="B51" s="33" t="s">
        <v>96</v>
      </c>
      <c r="C51" s="34"/>
      <c r="D51" s="34"/>
      <c r="E51" s="34"/>
      <c r="F51" s="98"/>
      <c r="G51" s="34"/>
      <c r="H51" s="17"/>
      <c r="I51" s="18"/>
      <c r="J51" s="19"/>
      <c r="N51" s="20"/>
      <c r="O51" s="20"/>
      <c r="P51" s="20"/>
      <c r="Q51" s="24"/>
      <c r="R51" s="22"/>
    </row>
    <row r="52" spans="1:18" ht="40.5" customHeight="1">
      <c r="A52" s="15"/>
      <c r="B52" s="14" t="s">
        <v>933</v>
      </c>
      <c r="C52" s="34"/>
      <c r="D52" s="34"/>
      <c r="E52" s="34"/>
      <c r="F52" s="98">
        <v>12493.86</v>
      </c>
      <c r="G52" s="34"/>
      <c r="H52" s="17"/>
      <c r="I52" s="18"/>
      <c r="J52" s="19"/>
      <c r="N52" s="20"/>
      <c r="O52" s="20"/>
      <c r="P52" s="20"/>
      <c r="Q52" s="24"/>
      <c r="R52" s="22"/>
    </row>
    <row r="53" spans="1:18" ht="37.5">
      <c r="A53" s="15"/>
      <c r="B53" s="14" t="s">
        <v>338</v>
      </c>
      <c r="C53" s="34"/>
      <c r="D53" s="34"/>
      <c r="E53" s="34"/>
      <c r="F53" s="98">
        <v>2450.61</v>
      </c>
      <c r="G53" s="34"/>
      <c r="H53" s="17"/>
      <c r="I53" s="18"/>
      <c r="J53" s="19"/>
      <c r="N53" s="20"/>
      <c r="O53" s="20"/>
      <c r="P53" s="20"/>
      <c r="Q53" s="24"/>
      <c r="R53" s="22"/>
    </row>
    <row r="54" spans="1:18" ht="18.75">
      <c r="A54" s="15"/>
      <c r="B54" s="14" t="s">
        <v>339</v>
      </c>
      <c r="C54" s="34"/>
      <c r="D54" s="34"/>
      <c r="E54" s="34"/>
      <c r="F54" s="98">
        <v>185.64</v>
      </c>
      <c r="G54" s="34"/>
      <c r="H54" s="17"/>
      <c r="I54" s="18"/>
      <c r="J54" s="19"/>
      <c r="N54" s="20"/>
      <c r="O54" s="20"/>
      <c r="P54" s="20"/>
      <c r="Q54" s="24"/>
      <c r="R54" s="22"/>
    </row>
    <row r="55" spans="1:18" ht="18.75">
      <c r="A55" s="15"/>
      <c r="B55" s="33" t="s">
        <v>97</v>
      </c>
      <c r="C55" s="34"/>
      <c r="D55" s="34"/>
      <c r="E55" s="34"/>
      <c r="F55" s="98"/>
      <c r="G55" s="34"/>
      <c r="H55" s="17"/>
      <c r="I55" s="18"/>
      <c r="J55" s="19"/>
      <c r="N55" s="20"/>
      <c r="O55" s="20"/>
      <c r="P55" s="20"/>
      <c r="Q55" s="24"/>
      <c r="R55" s="22"/>
    </row>
    <row r="56" spans="1:18" ht="40.5" customHeight="1">
      <c r="A56" s="15"/>
      <c r="B56" s="14" t="s">
        <v>340</v>
      </c>
      <c r="C56" s="34"/>
      <c r="D56" s="34"/>
      <c r="E56" s="34"/>
      <c r="F56" s="98">
        <v>6794.53</v>
      </c>
      <c r="G56" s="34"/>
      <c r="H56" s="17"/>
      <c r="I56" s="18"/>
      <c r="J56" s="19"/>
      <c r="N56" s="20"/>
      <c r="O56" s="20"/>
      <c r="P56" s="20"/>
      <c r="Q56" s="24"/>
      <c r="R56" s="22"/>
    </row>
    <row r="57" spans="1:18" ht="37.5">
      <c r="A57" s="15"/>
      <c r="B57" s="14" t="s">
        <v>341</v>
      </c>
      <c r="C57" s="34"/>
      <c r="D57" s="34"/>
      <c r="E57" s="34"/>
      <c r="F57" s="98">
        <v>756.37</v>
      </c>
      <c r="G57" s="34"/>
      <c r="H57" s="17"/>
      <c r="I57" s="18"/>
      <c r="J57" s="19"/>
      <c r="N57" s="20"/>
      <c r="O57" s="20"/>
      <c r="P57" s="20"/>
      <c r="Q57" s="24"/>
      <c r="R57" s="22"/>
    </row>
    <row r="58" spans="1:18" ht="18.75">
      <c r="A58" s="15"/>
      <c r="B58" s="14" t="s">
        <v>342</v>
      </c>
      <c r="C58" s="34"/>
      <c r="D58" s="34"/>
      <c r="E58" s="34"/>
      <c r="F58" s="98">
        <v>1490.22</v>
      </c>
      <c r="G58" s="34"/>
      <c r="H58" s="17"/>
      <c r="I58" s="18"/>
      <c r="J58" s="19"/>
      <c r="N58" s="20"/>
      <c r="O58" s="20"/>
      <c r="P58" s="20"/>
      <c r="Q58" s="24"/>
      <c r="R58" s="22"/>
    </row>
    <row r="59" spans="1:18" ht="56.25">
      <c r="A59" s="15"/>
      <c r="B59" s="14" t="s">
        <v>943</v>
      </c>
      <c r="C59" s="34"/>
      <c r="D59" s="34"/>
      <c r="E59" s="34">
        <v>-6142.51</v>
      </c>
      <c r="F59" s="98">
        <f>E59</f>
        <v>-6142.51</v>
      </c>
      <c r="G59" s="34"/>
      <c r="H59" s="17"/>
      <c r="I59" s="18"/>
      <c r="J59" s="19"/>
      <c r="N59" s="20"/>
      <c r="O59" s="20"/>
      <c r="P59" s="20"/>
      <c r="Q59" s="24"/>
      <c r="R59" s="22"/>
    </row>
    <row r="60" spans="1:24" ht="18.75">
      <c r="A60" s="12"/>
      <c r="B60" s="14" t="s">
        <v>9</v>
      </c>
      <c r="C60" s="33">
        <f>SUM(C13:C37)</f>
        <v>9.01</v>
      </c>
      <c r="D60" s="33">
        <f>SUM(D13:D37)</f>
        <v>9.6</v>
      </c>
      <c r="E60" s="34">
        <f>SUM(E13:E38)+E59</f>
        <v>367550.01199999993</v>
      </c>
      <c r="F60" s="34">
        <f>F13+F14+F15+F16+F17+F18+F59</f>
        <v>479445.372</v>
      </c>
      <c r="G60" s="34">
        <f>SUM(G13:G58)</f>
        <v>385539.83999999997</v>
      </c>
      <c r="H60" s="17">
        <f>1.04993597951*C60</f>
        <v>9.4599231753851</v>
      </c>
      <c r="I60" s="18">
        <f>1.12035851472*C60</f>
        <v>10.094430217627199</v>
      </c>
      <c r="J60" s="19">
        <f>J18</f>
        <v>3346.7</v>
      </c>
      <c r="N60" s="20"/>
      <c r="Q60" s="24"/>
      <c r="R60" s="22">
        <f>SUM(R13:R37)</f>
        <v>8.75</v>
      </c>
      <c r="S60" s="22">
        <f>SUM(S13:S37)</f>
        <v>9.16</v>
      </c>
      <c r="T60" s="22"/>
      <c r="U60" s="22"/>
      <c r="V60" s="22">
        <f>SUM(V13:V37)</f>
        <v>175701.75</v>
      </c>
      <c r="W60" s="22">
        <f>SUM(W13:W37)</f>
        <v>183934.63199999998</v>
      </c>
      <c r="X60" s="22">
        <f>SUM(X13:X37)</f>
        <v>359636.382</v>
      </c>
    </row>
    <row r="61" spans="1:28" ht="18.75">
      <c r="A61" s="13">
        <v>5</v>
      </c>
      <c r="B61" s="25" t="s">
        <v>26</v>
      </c>
      <c r="C61" s="108">
        <v>1.58</v>
      </c>
      <c r="D61" s="108">
        <v>1.85</v>
      </c>
      <c r="E61" s="98">
        <f>AA61*Z61*6</f>
        <v>68875.08600000001</v>
      </c>
      <c r="F61" s="101">
        <f>E61</f>
        <v>68875.08600000001</v>
      </c>
      <c r="G61" s="101">
        <f>AB61*12*Z61</f>
        <v>75903.15599999999</v>
      </c>
      <c r="H61">
        <f>H29</f>
        <v>0</v>
      </c>
      <c r="I61" s="22">
        <f>C61+D61</f>
        <v>3.43</v>
      </c>
      <c r="J61" s="34">
        <v>3.43</v>
      </c>
      <c r="K61">
        <v>10</v>
      </c>
      <c r="L61">
        <v>2</v>
      </c>
      <c r="N61" s="20">
        <f>C61*J61*K61</f>
        <v>54.194</v>
      </c>
      <c r="O61" s="20" t="e">
        <f>#REF!*J61*L61</f>
        <v>#REF!</v>
      </c>
      <c r="P61" s="20" t="e">
        <f>SUM(N61:O61)</f>
        <v>#REF!</v>
      </c>
      <c r="Q61" s="21"/>
      <c r="R61" s="22">
        <v>1.47</v>
      </c>
      <c r="S61">
        <v>1.58</v>
      </c>
      <c r="T61">
        <v>6</v>
      </c>
      <c r="U61">
        <v>6</v>
      </c>
      <c r="V61">
        <f>R61*J61*T61</f>
        <v>30.2526</v>
      </c>
      <c r="W61">
        <f>S61*U61*J61</f>
        <v>32.516400000000004</v>
      </c>
      <c r="X61">
        <f>SUM(V61:W61)</f>
        <v>62.769000000000005</v>
      </c>
      <c r="Y61">
        <f>C2</f>
        <v>0</v>
      </c>
      <c r="Z61" s="22">
        <f>Z13</f>
        <v>3346.7</v>
      </c>
      <c r="AA61" s="34">
        <v>3.43</v>
      </c>
      <c r="AB61">
        <v>1.89</v>
      </c>
    </row>
    <row r="62" spans="1:17" ht="18.75">
      <c r="A62" s="10"/>
      <c r="B62" s="26"/>
      <c r="C62" s="10"/>
      <c r="D62" s="10"/>
      <c r="E62" s="10"/>
      <c r="F62" s="10"/>
      <c r="G62" s="10"/>
      <c r="H62" s="10"/>
      <c r="Q62" s="24"/>
    </row>
    <row r="63" spans="1:17" ht="18.75">
      <c r="A63" s="179" t="s">
        <v>941</v>
      </c>
      <c r="B63" s="179"/>
      <c r="C63" s="183">
        <v>85871.94</v>
      </c>
      <c r="D63" s="183"/>
      <c r="E63" s="6" t="s">
        <v>18</v>
      </c>
      <c r="F63" s="10"/>
      <c r="G63" s="10"/>
      <c r="H63" s="10"/>
      <c r="Q63" s="24"/>
    </row>
    <row r="64" spans="1:17" ht="18.75">
      <c r="A64" s="179" t="s">
        <v>942</v>
      </c>
      <c r="B64" s="179"/>
      <c r="C64" s="183">
        <v>73734.68</v>
      </c>
      <c r="D64" s="183"/>
      <c r="E64" s="6" t="s">
        <v>18</v>
      </c>
      <c r="F64" s="10"/>
      <c r="G64" s="10"/>
      <c r="H64" s="10"/>
      <c r="Q64" s="24"/>
    </row>
    <row r="65" spans="1:8" ht="18.75">
      <c r="A65" s="180" t="s">
        <v>17</v>
      </c>
      <c r="B65" s="180"/>
      <c r="C65" s="180"/>
      <c r="D65" s="180"/>
      <c r="E65" s="180"/>
      <c r="F65" s="180"/>
      <c r="G65" s="180"/>
      <c r="H65" s="10"/>
    </row>
    <row r="66" spans="1:8" ht="18.75" customHeight="1" hidden="1">
      <c r="A66" s="181" t="s">
        <v>35</v>
      </c>
      <c r="B66" s="181"/>
      <c r="C66" s="5" t="e">
        <f>C63-#REF!</f>
        <v>#REF!</v>
      </c>
      <c r="D66" s="10" t="s">
        <v>18</v>
      </c>
      <c r="E66" s="10"/>
      <c r="F66" s="10"/>
      <c r="G66" s="10"/>
      <c r="H66" s="10"/>
    </row>
    <row r="67" spans="1:8" ht="18.75" customHeight="1" hidden="1">
      <c r="A67" s="181" t="s">
        <v>36</v>
      </c>
      <c r="B67" s="181"/>
      <c r="C67" s="85">
        <f>E60-F60</f>
        <v>-111895.36000000004</v>
      </c>
      <c r="D67" s="36" t="str">
        <f>D66</f>
        <v>рублей</v>
      </c>
      <c r="E67" s="30"/>
      <c r="F67" s="30"/>
      <c r="G67" s="30"/>
      <c r="H67" s="28"/>
    </row>
    <row r="68" spans="1:7" ht="12.75">
      <c r="A68" s="30"/>
      <c r="B68" s="30"/>
      <c r="C68" s="30"/>
      <c r="D68" s="30"/>
      <c r="E68" s="30"/>
      <c r="F68" s="30"/>
      <c r="G68" s="30"/>
    </row>
    <row r="69" spans="1:7" ht="12.75">
      <c r="A69" s="30"/>
      <c r="B69" s="30"/>
      <c r="C69" s="30"/>
      <c r="D69" s="30"/>
      <c r="E69" s="30"/>
      <c r="F69" s="30"/>
      <c r="G69" s="30"/>
    </row>
    <row r="70" spans="1:7" ht="12.75">
      <c r="A70" s="30"/>
      <c r="B70" s="30"/>
      <c r="C70" s="30"/>
      <c r="D70" s="30"/>
      <c r="E70" s="30"/>
      <c r="F70" s="30"/>
      <c r="G70" s="30"/>
    </row>
    <row r="71" spans="1:7" ht="12.75">
      <c r="A71" s="30"/>
      <c r="B71" s="30"/>
      <c r="C71" s="30"/>
      <c r="D71" s="30"/>
      <c r="E71" s="30"/>
      <c r="F71" s="30"/>
      <c r="G71" s="30"/>
    </row>
    <row r="72" spans="1:7" ht="12.75">
      <c r="A72" s="30"/>
      <c r="B72" s="30"/>
      <c r="C72" s="30"/>
      <c r="D72" s="30"/>
      <c r="E72" s="30"/>
      <c r="F72" s="30"/>
      <c r="G72" s="30"/>
    </row>
    <row r="73" spans="1:7" ht="12.75">
      <c r="A73" s="30"/>
      <c r="B73" s="30"/>
      <c r="C73" s="30"/>
      <c r="D73" s="30"/>
      <c r="E73" s="30"/>
      <c r="F73" s="30"/>
      <c r="G73" s="30"/>
    </row>
  </sheetData>
  <sheetProtection/>
  <mergeCells count="18">
    <mergeCell ref="A1:G2"/>
    <mergeCell ref="A3:G3"/>
    <mergeCell ref="A4:H5"/>
    <mergeCell ref="F9:F11"/>
    <mergeCell ref="G9:G11"/>
    <mergeCell ref="C63:D63"/>
    <mergeCell ref="J9:Q12"/>
    <mergeCell ref="R9:X12"/>
    <mergeCell ref="A9:A11"/>
    <mergeCell ref="B9:B11"/>
    <mergeCell ref="C9:D10"/>
    <mergeCell ref="E9:E11"/>
    <mergeCell ref="A65:G65"/>
    <mergeCell ref="A66:B66"/>
    <mergeCell ref="A67:B67"/>
    <mergeCell ref="A63:B63"/>
    <mergeCell ref="A64:B64"/>
    <mergeCell ref="C64:D6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  <rowBreaks count="1" manualBreakCount="1">
    <brk id="35" max="6" man="1"/>
  </rowBreaks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B60"/>
  <sheetViews>
    <sheetView view="pageBreakPreview" zoomScale="75" zoomScaleSheetLayoutView="75" zoomScalePageLayoutView="0" workbookViewId="0" topLeftCell="A28">
      <selection activeCell="Z16" sqref="Z1:AE16384"/>
    </sheetView>
  </sheetViews>
  <sheetFormatPr defaultColWidth="9.00390625" defaultRowHeight="12.75"/>
  <cols>
    <col min="2" max="2" width="60.75390625" style="0" customWidth="1"/>
    <col min="3" max="3" width="11.625" style="0" bestFit="1" customWidth="1"/>
    <col min="4" max="4" width="9.75390625" style="0" bestFit="1" customWidth="1"/>
    <col min="5" max="5" width="17.00390625" style="0" customWidth="1"/>
    <col min="6" max="6" width="17.75390625" style="0" customWidth="1"/>
    <col min="7" max="7" width="14.375" style="0" customWidth="1"/>
    <col min="8" max="31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40.5" customHeight="1">
      <c r="A3" s="182" t="s">
        <v>44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18.75">
      <c r="A7" s="8"/>
      <c r="B7" s="9" t="s">
        <v>5</v>
      </c>
      <c r="C7" s="6">
        <v>1502.03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184" t="s">
        <v>8</v>
      </c>
      <c r="B9" s="184" t="s">
        <v>6</v>
      </c>
      <c r="C9" s="185" t="s">
        <v>32</v>
      </c>
      <c r="D9" s="186"/>
      <c r="E9" s="189" t="s">
        <v>99</v>
      </c>
      <c r="F9" s="178" t="s">
        <v>74</v>
      </c>
      <c r="G9" s="178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52.5" customHeight="1">
      <c r="A10" s="184"/>
      <c r="B10" s="184"/>
      <c r="C10" s="187"/>
      <c r="D10" s="188"/>
      <c r="E10" s="190"/>
      <c r="F10" s="178"/>
      <c r="G10" s="178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82.5" customHeight="1">
      <c r="A11" s="184"/>
      <c r="B11" s="184"/>
      <c r="C11" s="87" t="s">
        <v>107</v>
      </c>
      <c r="D11" s="87" t="s">
        <v>106</v>
      </c>
      <c r="E11" s="191"/>
      <c r="F11" s="178"/>
      <c r="G11" s="178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13" t="s">
        <v>12</v>
      </c>
      <c r="B12" s="14" t="s">
        <v>20</v>
      </c>
      <c r="C12" s="13"/>
      <c r="D12" s="13"/>
      <c r="E12" s="13"/>
      <c r="F12" s="13"/>
      <c r="G12" s="1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28" ht="18.75">
      <c r="A13" s="15" t="s">
        <v>13</v>
      </c>
      <c r="B13" s="14" t="s">
        <v>10</v>
      </c>
      <c r="C13" s="34">
        <v>1.09</v>
      </c>
      <c r="D13" s="34">
        <v>1.14</v>
      </c>
      <c r="E13" s="16">
        <f aca="true" t="shared" si="0" ref="E13:E18">Z13*AA13*6</f>
        <v>20097.161399999997</v>
      </c>
      <c r="F13" s="16">
        <f>E13</f>
        <v>20097.161399999997</v>
      </c>
      <c r="G13" s="34">
        <f aca="true" t="shared" si="1" ref="G13:G18">Z13*AB13*12</f>
        <v>20547.770399999998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1502.03</v>
      </c>
      <c r="K13">
        <v>6</v>
      </c>
      <c r="L13">
        <v>2</v>
      </c>
      <c r="M13">
        <v>4</v>
      </c>
      <c r="N13" s="20">
        <f aca="true" t="shared" si="4" ref="N13:N18">C13*J13*K13</f>
        <v>9823.2762</v>
      </c>
      <c r="O13" s="20" t="e">
        <f>J13*#REF!*L13</f>
        <v>#REF!</v>
      </c>
      <c r="P13" s="20">
        <f aca="true" t="shared" si="5" ref="P13:P18">D13*J13*M13</f>
        <v>6849.256799999999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9462.789</v>
      </c>
      <c r="W13">
        <f aca="true" t="shared" si="8" ref="W13:W18">U13*S13*J13</f>
        <v>9823.276200000002</v>
      </c>
      <c r="X13">
        <f aca="true" t="shared" si="9" ref="X13:X18">SUM(V13:W13)</f>
        <v>19286.065200000005</v>
      </c>
      <c r="Z13">
        <f>C7</f>
        <v>1502.03</v>
      </c>
      <c r="AA13" s="22">
        <f aca="true" t="shared" si="10" ref="AA13:AA18">C13+D13</f>
        <v>2.23</v>
      </c>
      <c r="AB13" s="34">
        <v>1.14</v>
      </c>
    </row>
    <row r="14" spans="1:28" ht="37.5">
      <c r="A14" s="15" t="s">
        <v>14</v>
      </c>
      <c r="B14" s="14" t="s">
        <v>15</v>
      </c>
      <c r="C14" s="34">
        <v>1.39</v>
      </c>
      <c r="D14" s="34">
        <v>1.46</v>
      </c>
      <c r="E14" s="16">
        <f t="shared" si="0"/>
        <v>25684.712999999996</v>
      </c>
      <c r="F14" s="16">
        <f>E14</f>
        <v>25684.712999999996</v>
      </c>
      <c r="G14" s="34">
        <f t="shared" si="1"/>
        <v>26315.5656</v>
      </c>
      <c r="H14" s="17">
        <f t="shared" si="2"/>
        <v>1.4594110115189</v>
      </c>
      <c r="I14" s="18">
        <f t="shared" si="3"/>
        <v>1.5572983354607999</v>
      </c>
      <c r="J14" s="19">
        <f>J13</f>
        <v>1502.03</v>
      </c>
      <c r="K14">
        <v>6</v>
      </c>
      <c r="L14">
        <v>2</v>
      </c>
      <c r="M14">
        <v>4</v>
      </c>
      <c r="N14" s="20">
        <f t="shared" si="4"/>
        <v>12526.930199999999</v>
      </c>
      <c r="O14" s="20" t="e">
        <f>J14*#REF!*L14</f>
        <v>#REF!</v>
      </c>
      <c r="P14" s="20">
        <f t="shared" si="5"/>
        <v>8771.8552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11986.199400000001</v>
      </c>
      <c r="W14">
        <f t="shared" si="8"/>
        <v>12526.930199999999</v>
      </c>
      <c r="X14">
        <f t="shared" si="9"/>
        <v>24513.1296</v>
      </c>
      <c r="Z14">
        <f>Z13</f>
        <v>1502.03</v>
      </c>
      <c r="AA14" s="22">
        <f t="shared" si="10"/>
        <v>2.8499999999999996</v>
      </c>
      <c r="AB14" s="34">
        <v>1.46</v>
      </c>
    </row>
    <row r="15" spans="1:28" ht="18.75">
      <c r="A15" s="15" t="s">
        <v>16</v>
      </c>
      <c r="B15" s="14" t="s">
        <v>7</v>
      </c>
      <c r="C15" s="34"/>
      <c r="D15" s="34"/>
      <c r="E15" s="16"/>
      <c r="F15" s="16"/>
      <c r="G15" s="34"/>
      <c r="H15" s="17"/>
      <c r="I15" s="18"/>
      <c r="J15" s="19"/>
      <c r="N15" s="20"/>
      <c r="O15" s="20"/>
      <c r="P15" s="20"/>
      <c r="Q15" s="21"/>
      <c r="R15" s="22"/>
      <c r="S15" s="22"/>
      <c r="AA15" s="22">
        <f t="shared" si="10"/>
        <v>0</v>
      </c>
      <c r="AB15" s="34">
        <v>0</v>
      </c>
    </row>
    <row r="16" spans="1:28" ht="18.75">
      <c r="A16" s="15" t="s">
        <v>21</v>
      </c>
      <c r="B16" s="14" t="s">
        <v>11</v>
      </c>
      <c r="C16" s="34">
        <v>0.82</v>
      </c>
      <c r="D16" s="34">
        <v>0.58</v>
      </c>
      <c r="E16" s="16">
        <f t="shared" si="0"/>
        <v>12617.051999999998</v>
      </c>
      <c r="F16" s="16">
        <f>E16</f>
        <v>12617.051999999998</v>
      </c>
      <c r="G16" s="34">
        <f t="shared" si="1"/>
        <v>10454.128799999999</v>
      </c>
      <c r="H16" s="17">
        <f t="shared" si="2"/>
        <v>0.8609475031982</v>
      </c>
      <c r="I16" s="18">
        <f t="shared" si="3"/>
        <v>0.9186939820703999</v>
      </c>
      <c r="J16" s="19">
        <f>J15</f>
        <v>0</v>
      </c>
      <c r="K16">
        <v>6</v>
      </c>
      <c r="L16">
        <v>2</v>
      </c>
      <c r="M16">
        <v>4</v>
      </c>
      <c r="N16" s="20">
        <f t="shared" si="4"/>
        <v>0</v>
      </c>
      <c r="O16" s="20" t="e">
        <f>J16*#REF!*L16</f>
        <v>#REF!</v>
      </c>
      <c r="P16" s="20">
        <f t="shared" si="5"/>
        <v>0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0</v>
      </c>
      <c r="W16">
        <f t="shared" si="8"/>
        <v>0</v>
      </c>
      <c r="X16">
        <f t="shared" si="9"/>
        <v>0</v>
      </c>
      <c r="Z16">
        <f>Z14</f>
        <v>1502.03</v>
      </c>
      <c r="AA16" s="22">
        <f t="shared" si="10"/>
        <v>1.4</v>
      </c>
      <c r="AB16" s="34">
        <v>0.58</v>
      </c>
    </row>
    <row r="17" spans="1:28" ht="18.75">
      <c r="A17" s="15" t="s">
        <v>22</v>
      </c>
      <c r="B17" s="14" t="s">
        <v>19</v>
      </c>
      <c r="C17" s="34">
        <v>1.24</v>
      </c>
      <c r="D17" s="34">
        <v>1.24</v>
      </c>
      <c r="E17" s="16">
        <f t="shared" si="0"/>
        <v>22350.2064</v>
      </c>
      <c r="F17" s="16">
        <f>E17</f>
        <v>22350.2064</v>
      </c>
      <c r="G17" s="34">
        <f t="shared" si="1"/>
        <v>22350.2064</v>
      </c>
      <c r="H17" s="17">
        <f t="shared" si="2"/>
        <v>1.3019206145924</v>
      </c>
      <c r="I17" s="18">
        <f t="shared" si="3"/>
        <v>1.3892445582528</v>
      </c>
      <c r="J17" s="19">
        <f>J16</f>
        <v>0</v>
      </c>
      <c r="K17">
        <v>6</v>
      </c>
      <c r="L17">
        <v>2</v>
      </c>
      <c r="M17">
        <v>4</v>
      </c>
      <c r="N17" s="20">
        <f t="shared" si="4"/>
        <v>0</v>
      </c>
      <c r="O17" s="20" t="e">
        <f>J17*#REF!*L17</f>
        <v>#REF!</v>
      </c>
      <c r="P17" s="20">
        <f t="shared" si="5"/>
        <v>0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0</v>
      </c>
      <c r="W17">
        <f t="shared" si="8"/>
        <v>0</v>
      </c>
      <c r="X17">
        <f t="shared" si="9"/>
        <v>0</v>
      </c>
      <c r="Z17">
        <f>Z16</f>
        <v>1502.03</v>
      </c>
      <c r="AA17" s="22">
        <f t="shared" si="10"/>
        <v>2.48</v>
      </c>
      <c r="AB17" s="34">
        <v>1.24</v>
      </c>
    </row>
    <row r="18" spans="1:28" ht="56.25">
      <c r="A18" s="15" t="s">
        <v>23</v>
      </c>
      <c r="B18" s="14" t="s">
        <v>24</v>
      </c>
      <c r="C18" s="34">
        <v>4.47</v>
      </c>
      <c r="D18" s="34">
        <v>5.18</v>
      </c>
      <c r="E18" s="16">
        <f t="shared" si="0"/>
        <v>86967.53699999998</v>
      </c>
      <c r="F18" s="101">
        <f>F20+F21+F22+F24+F25+F27+F28+F30+F32+F33+F34+F36+F37+F39+F41+F42+F43+F45+F46+F48+F49+F51</f>
        <v>60227.259999999995</v>
      </c>
      <c r="G18" s="34">
        <f t="shared" si="1"/>
        <v>93366.18479999999</v>
      </c>
      <c r="H18" s="17">
        <f t="shared" si="2"/>
        <v>4.6932138284097</v>
      </c>
      <c r="I18" s="18">
        <f t="shared" si="3"/>
        <v>5.008002560798399</v>
      </c>
      <c r="J18" s="19">
        <f>J17</f>
        <v>0</v>
      </c>
      <c r="K18">
        <v>6</v>
      </c>
      <c r="L18">
        <v>2</v>
      </c>
      <c r="M18">
        <v>4</v>
      </c>
      <c r="N18" s="20">
        <f t="shared" si="4"/>
        <v>0</v>
      </c>
      <c r="O18" s="20" t="e">
        <f>J18*#REF!*L18</f>
        <v>#REF!</v>
      </c>
      <c r="P18" s="20">
        <f t="shared" si="5"/>
        <v>0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0</v>
      </c>
      <c r="W18">
        <f t="shared" si="8"/>
        <v>0</v>
      </c>
      <c r="X18">
        <f t="shared" si="9"/>
        <v>0</v>
      </c>
      <c r="Z18">
        <f>Z17</f>
        <v>1502.03</v>
      </c>
      <c r="AA18" s="22">
        <f t="shared" si="10"/>
        <v>9.649999999999999</v>
      </c>
      <c r="AB18" s="34">
        <v>5.18</v>
      </c>
    </row>
    <row r="19" spans="1:19" ht="18.75">
      <c r="A19" s="15"/>
      <c r="B19" s="34" t="s">
        <v>75</v>
      </c>
      <c r="C19" s="16"/>
      <c r="D19" s="16"/>
      <c r="E19" s="16"/>
      <c r="F19" s="101"/>
      <c r="G19" s="16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18.75">
      <c r="A20" s="15"/>
      <c r="B20" s="14" t="s">
        <v>343</v>
      </c>
      <c r="C20" s="16"/>
      <c r="D20" s="16"/>
      <c r="E20" s="16"/>
      <c r="F20" s="102">
        <v>317.71</v>
      </c>
      <c r="G20" s="16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15"/>
      <c r="B21" s="14" t="s">
        <v>344</v>
      </c>
      <c r="C21" s="16"/>
      <c r="D21" s="16"/>
      <c r="E21" s="16"/>
      <c r="F21" s="101">
        <v>85.64</v>
      </c>
      <c r="G21" s="16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20.25" customHeight="1">
      <c r="A22" s="15"/>
      <c r="B22" s="14" t="s">
        <v>345</v>
      </c>
      <c r="C22" s="16"/>
      <c r="D22" s="16"/>
      <c r="E22" s="16"/>
      <c r="F22" s="101">
        <v>2293.63</v>
      </c>
      <c r="G22" s="16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15"/>
      <c r="B23" s="33" t="s">
        <v>88</v>
      </c>
      <c r="C23" s="16"/>
      <c r="D23" s="16"/>
      <c r="E23" s="16"/>
      <c r="F23" s="108"/>
      <c r="G23" s="16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37.5">
      <c r="A24" s="15"/>
      <c r="B24" s="14" t="s">
        <v>346</v>
      </c>
      <c r="C24" s="16"/>
      <c r="D24" s="16"/>
      <c r="E24" s="16"/>
      <c r="F24" s="108">
        <v>5232.36</v>
      </c>
      <c r="G24" s="16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15"/>
      <c r="B25" s="14" t="s">
        <v>347</v>
      </c>
      <c r="C25" s="16"/>
      <c r="D25" s="16"/>
      <c r="E25" s="16"/>
      <c r="F25" s="108">
        <v>405.3</v>
      </c>
      <c r="G25" s="16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18.75">
      <c r="A26" s="15"/>
      <c r="B26" s="33" t="s">
        <v>89</v>
      </c>
      <c r="C26" s="16"/>
      <c r="D26" s="16"/>
      <c r="E26" s="16"/>
      <c r="F26" s="108"/>
      <c r="G26" s="16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15"/>
      <c r="B27" s="14" t="s">
        <v>348</v>
      </c>
      <c r="C27" s="16"/>
      <c r="D27" s="16"/>
      <c r="E27" s="16"/>
      <c r="F27" s="108">
        <v>62.29</v>
      </c>
      <c r="G27" s="16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15"/>
      <c r="B28" s="14" t="s">
        <v>104</v>
      </c>
      <c r="C28" s="16"/>
      <c r="D28" s="16"/>
      <c r="E28" s="16"/>
      <c r="F28" s="108">
        <v>166.64</v>
      </c>
      <c r="G28" s="16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15"/>
      <c r="B29" s="33" t="s">
        <v>90</v>
      </c>
      <c r="C29" s="16"/>
      <c r="D29" s="16"/>
      <c r="E29" s="16"/>
      <c r="F29" s="108"/>
      <c r="G29" s="16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37.5">
      <c r="A30" s="15"/>
      <c r="B30" s="14" t="s">
        <v>349</v>
      </c>
      <c r="C30" s="16"/>
      <c r="D30" s="16"/>
      <c r="E30" s="16"/>
      <c r="F30" s="108">
        <v>1461.04</v>
      </c>
      <c r="G30" s="16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15"/>
      <c r="B31" s="33" t="s">
        <v>91</v>
      </c>
      <c r="C31" s="16"/>
      <c r="D31" s="16"/>
      <c r="E31" s="16"/>
      <c r="F31" s="108"/>
      <c r="G31" s="16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18.75">
      <c r="A32" s="15"/>
      <c r="B32" s="14" t="s">
        <v>350</v>
      </c>
      <c r="C32" s="16"/>
      <c r="D32" s="16"/>
      <c r="E32" s="16"/>
      <c r="F32" s="108">
        <v>503.82</v>
      </c>
      <c r="G32" s="16"/>
      <c r="H32" s="17"/>
      <c r="I32" s="18"/>
      <c r="J32" s="19"/>
      <c r="N32" s="20"/>
      <c r="O32" s="20"/>
      <c r="P32" s="20"/>
      <c r="Q32" s="21"/>
      <c r="R32" s="22"/>
      <c r="S32" s="22"/>
    </row>
    <row r="33" spans="1:19" ht="18.75">
      <c r="A33" s="15"/>
      <c r="B33" s="14" t="s">
        <v>351</v>
      </c>
      <c r="C33" s="16"/>
      <c r="D33" s="16"/>
      <c r="E33" s="16"/>
      <c r="F33" s="108">
        <v>230.42</v>
      </c>
      <c r="G33" s="16"/>
      <c r="H33" s="17"/>
      <c r="I33" s="18"/>
      <c r="J33" s="19"/>
      <c r="N33" s="20"/>
      <c r="O33" s="20"/>
      <c r="P33" s="20"/>
      <c r="Q33" s="21"/>
      <c r="R33" s="22"/>
      <c r="S33" s="22"/>
    </row>
    <row r="34" spans="1:19" ht="37.5">
      <c r="A34" s="15"/>
      <c r="B34" s="14" t="s">
        <v>352</v>
      </c>
      <c r="C34" s="16"/>
      <c r="D34" s="16"/>
      <c r="E34" s="16"/>
      <c r="F34" s="108">
        <v>8201.85</v>
      </c>
      <c r="G34" s="16"/>
      <c r="H34" s="17"/>
      <c r="I34" s="18"/>
      <c r="J34" s="19"/>
      <c r="N34" s="20"/>
      <c r="O34" s="20"/>
      <c r="P34" s="20"/>
      <c r="Q34" s="21"/>
      <c r="R34" s="22"/>
      <c r="S34" s="22"/>
    </row>
    <row r="35" spans="1:19" ht="18.75">
      <c r="A35" s="15"/>
      <c r="B35" s="33" t="s">
        <v>93</v>
      </c>
      <c r="C35" s="16"/>
      <c r="D35" s="16"/>
      <c r="E35" s="16"/>
      <c r="F35" s="108"/>
      <c r="G35" s="16"/>
      <c r="H35" s="17"/>
      <c r="I35" s="18"/>
      <c r="J35" s="19"/>
      <c r="N35" s="20"/>
      <c r="O35" s="20"/>
      <c r="P35" s="20"/>
      <c r="Q35" s="21"/>
      <c r="R35" s="22"/>
      <c r="S35" s="22"/>
    </row>
    <row r="36" spans="1:19" ht="18.75" customHeight="1">
      <c r="A36" s="15"/>
      <c r="B36" s="14" t="s">
        <v>353</v>
      </c>
      <c r="C36" s="16"/>
      <c r="D36" s="16"/>
      <c r="E36" s="16"/>
      <c r="F36" s="101">
        <v>6608.9</v>
      </c>
      <c r="G36" s="16"/>
      <c r="H36" s="17"/>
      <c r="I36" s="18"/>
      <c r="J36" s="19"/>
      <c r="N36" s="20"/>
      <c r="O36" s="20"/>
      <c r="P36" s="20"/>
      <c r="Q36" s="21"/>
      <c r="R36" s="22"/>
      <c r="S36" s="22"/>
    </row>
    <row r="37" spans="1:19" ht="18.75">
      <c r="A37" s="15"/>
      <c r="B37" s="14" t="s">
        <v>354</v>
      </c>
      <c r="C37" s="16"/>
      <c r="D37" s="16"/>
      <c r="E37" s="16"/>
      <c r="F37" s="108">
        <v>207.59</v>
      </c>
      <c r="G37" s="16"/>
      <c r="H37" s="17"/>
      <c r="I37" s="18"/>
      <c r="J37" s="19"/>
      <c r="N37" s="20"/>
      <c r="O37" s="20"/>
      <c r="P37" s="20"/>
      <c r="Q37" s="21"/>
      <c r="R37" s="22"/>
      <c r="S37" s="22"/>
    </row>
    <row r="38" spans="1:19" ht="18.75">
      <c r="A38" s="15"/>
      <c r="B38" s="33" t="s">
        <v>94</v>
      </c>
      <c r="C38" s="16"/>
      <c r="D38" s="16"/>
      <c r="E38" s="16"/>
      <c r="F38" s="108"/>
      <c r="G38" s="16"/>
      <c r="H38" s="17"/>
      <c r="I38" s="18"/>
      <c r="J38" s="19"/>
      <c r="N38" s="20"/>
      <c r="O38" s="20"/>
      <c r="P38" s="20"/>
      <c r="Q38" s="21"/>
      <c r="R38" s="22"/>
      <c r="S38" s="22"/>
    </row>
    <row r="39" spans="1:19" ht="19.5" customHeight="1">
      <c r="A39" s="15"/>
      <c r="B39" s="14" t="s">
        <v>355</v>
      </c>
      <c r="C39" s="16"/>
      <c r="D39" s="16"/>
      <c r="E39" s="16"/>
      <c r="F39" s="101">
        <v>6449.89</v>
      </c>
      <c r="G39" s="16"/>
      <c r="H39" s="17"/>
      <c r="I39" s="18"/>
      <c r="J39" s="19"/>
      <c r="N39" s="20"/>
      <c r="O39" s="20"/>
      <c r="P39" s="20"/>
      <c r="Q39" s="21"/>
      <c r="R39" s="22"/>
      <c r="S39" s="22"/>
    </row>
    <row r="40" spans="1:19" ht="18.75">
      <c r="A40" s="15"/>
      <c r="B40" s="33" t="s">
        <v>98</v>
      </c>
      <c r="C40" s="16"/>
      <c r="D40" s="16"/>
      <c r="E40" s="16"/>
      <c r="F40" s="108"/>
      <c r="G40" s="16"/>
      <c r="H40" s="17"/>
      <c r="I40" s="18"/>
      <c r="J40" s="19"/>
      <c r="N40" s="20"/>
      <c r="O40" s="20"/>
      <c r="P40" s="20"/>
      <c r="Q40" s="21"/>
      <c r="R40" s="22"/>
      <c r="S40" s="22"/>
    </row>
    <row r="41" spans="1:19" ht="37.5">
      <c r="A41" s="15"/>
      <c r="B41" s="14" t="s">
        <v>356</v>
      </c>
      <c r="C41" s="16"/>
      <c r="D41" s="16"/>
      <c r="E41" s="16"/>
      <c r="F41" s="101">
        <v>6576.01</v>
      </c>
      <c r="G41" s="16"/>
      <c r="H41" s="17"/>
      <c r="I41" s="18"/>
      <c r="J41" s="19"/>
      <c r="N41" s="20"/>
      <c r="O41" s="20"/>
      <c r="P41" s="20"/>
      <c r="Q41" s="21"/>
      <c r="R41" s="22"/>
      <c r="S41" s="22"/>
    </row>
    <row r="42" spans="1:19" ht="18.75">
      <c r="A42" s="15"/>
      <c r="B42" s="14" t="s">
        <v>357</v>
      </c>
      <c r="C42" s="16"/>
      <c r="D42" s="16"/>
      <c r="E42" s="16"/>
      <c r="F42" s="101">
        <v>6463.74</v>
      </c>
      <c r="G42" s="16"/>
      <c r="H42" s="17"/>
      <c r="I42" s="18"/>
      <c r="J42" s="19"/>
      <c r="N42" s="20"/>
      <c r="O42" s="20"/>
      <c r="P42" s="20"/>
      <c r="Q42" s="21"/>
      <c r="R42" s="22"/>
      <c r="S42" s="22"/>
    </row>
    <row r="43" spans="1:19" ht="20.25" customHeight="1">
      <c r="A43" s="15"/>
      <c r="B43" s="14" t="s">
        <v>358</v>
      </c>
      <c r="C43" s="16"/>
      <c r="D43" s="16"/>
      <c r="E43" s="16"/>
      <c r="F43" s="101">
        <v>1872.86</v>
      </c>
      <c r="G43" s="16"/>
      <c r="H43" s="17"/>
      <c r="I43" s="18"/>
      <c r="J43" s="19"/>
      <c r="N43" s="20"/>
      <c r="O43" s="20"/>
      <c r="P43" s="20"/>
      <c r="Q43" s="21"/>
      <c r="R43" s="22"/>
      <c r="S43" s="22"/>
    </row>
    <row r="44" spans="1:19" ht="18.75">
      <c r="A44" s="15"/>
      <c r="B44" s="33" t="s">
        <v>95</v>
      </c>
      <c r="C44" s="16"/>
      <c r="D44" s="16"/>
      <c r="E44" s="16"/>
      <c r="F44" s="108"/>
      <c r="G44" s="16"/>
      <c r="H44" s="17"/>
      <c r="I44" s="18"/>
      <c r="J44" s="19"/>
      <c r="N44" s="20"/>
      <c r="O44" s="20"/>
      <c r="P44" s="20"/>
      <c r="Q44" s="21"/>
      <c r="R44" s="22"/>
      <c r="S44" s="22"/>
    </row>
    <row r="45" spans="1:19" ht="37.5">
      <c r="A45" s="15"/>
      <c r="B45" s="14" t="s">
        <v>359</v>
      </c>
      <c r="C45" s="16"/>
      <c r="D45" s="16"/>
      <c r="E45" s="16"/>
      <c r="F45" s="108">
        <v>10008.97</v>
      </c>
      <c r="G45" s="16"/>
      <c r="H45" s="17"/>
      <c r="I45" s="18"/>
      <c r="J45" s="19"/>
      <c r="N45" s="20"/>
      <c r="O45" s="20"/>
      <c r="P45" s="20"/>
      <c r="Q45" s="21"/>
      <c r="R45" s="22"/>
      <c r="S45" s="22"/>
    </row>
    <row r="46" spans="1:19" ht="18.75">
      <c r="A46" s="15"/>
      <c r="B46" s="14" t="s">
        <v>104</v>
      </c>
      <c r="C46" s="16"/>
      <c r="D46" s="16"/>
      <c r="E46" s="16"/>
      <c r="F46" s="108">
        <v>159.14</v>
      </c>
      <c r="G46" s="16"/>
      <c r="H46" s="17"/>
      <c r="I46" s="18"/>
      <c r="J46" s="19"/>
      <c r="N46" s="20"/>
      <c r="O46" s="20"/>
      <c r="P46" s="20"/>
      <c r="Q46" s="21"/>
      <c r="R46" s="22"/>
      <c r="S46" s="22"/>
    </row>
    <row r="47" spans="1:19" ht="18.75">
      <c r="A47" s="15"/>
      <c r="B47" s="33" t="s">
        <v>96</v>
      </c>
      <c r="C47" s="16"/>
      <c r="D47" s="16"/>
      <c r="E47" s="16"/>
      <c r="F47" s="108"/>
      <c r="G47" s="16"/>
      <c r="H47" s="17"/>
      <c r="I47" s="18"/>
      <c r="J47" s="19"/>
      <c r="N47" s="20"/>
      <c r="O47" s="20"/>
      <c r="P47" s="20"/>
      <c r="Q47" s="21"/>
      <c r="R47" s="22"/>
      <c r="S47" s="22"/>
    </row>
    <row r="48" spans="1:19" ht="37.5">
      <c r="A48" s="15"/>
      <c r="B48" s="14" t="s">
        <v>360</v>
      </c>
      <c r="C48" s="16"/>
      <c r="D48" s="16"/>
      <c r="E48" s="16"/>
      <c r="F48" s="108">
        <v>2418.81</v>
      </c>
      <c r="G48" s="16"/>
      <c r="H48" s="17"/>
      <c r="I48" s="18"/>
      <c r="J48" s="19"/>
      <c r="N48" s="20"/>
      <c r="O48" s="20"/>
      <c r="P48" s="20"/>
      <c r="Q48" s="21"/>
      <c r="R48" s="22"/>
      <c r="S48" s="22"/>
    </row>
    <row r="49" spans="1:19" ht="18.75">
      <c r="A49" s="15"/>
      <c r="B49" s="14" t="s">
        <v>361</v>
      </c>
      <c r="C49" s="16"/>
      <c r="D49" s="16"/>
      <c r="E49" s="16"/>
      <c r="F49" s="108">
        <v>251.49</v>
      </c>
      <c r="G49" s="16"/>
      <c r="H49" s="17"/>
      <c r="I49" s="18"/>
      <c r="J49" s="19"/>
      <c r="N49" s="20"/>
      <c r="O49" s="20"/>
      <c r="P49" s="20"/>
      <c r="Q49" s="21"/>
      <c r="R49" s="22"/>
      <c r="S49" s="22"/>
    </row>
    <row r="50" spans="1:19" ht="18.75">
      <c r="A50" s="15"/>
      <c r="B50" s="33" t="s">
        <v>97</v>
      </c>
      <c r="C50" s="16"/>
      <c r="D50" s="16"/>
      <c r="E50" s="16"/>
      <c r="F50" s="108"/>
      <c r="G50" s="16"/>
      <c r="H50" s="17"/>
      <c r="I50" s="18"/>
      <c r="J50" s="19"/>
      <c r="N50" s="20"/>
      <c r="O50" s="20"/>
      <c r="P50" s="20"/>
      <c r="Q50" s="21"/>
      <c r="R50" s="22"/>
      <c r="S50" s="22"/>
    </row>
    <row r="51" spans="1:19" ht="18.75">
      <c r="A51" s="15"/>
      <c r="B51" s="14" t="s">
        <v>362</v>
      </c>
      <c r="C51" s="16"/>
      <c r="D51" s="16"/>
      <c r="E51" s="16"/>
      <c r="F51" s="108">
        <v>249.16</v>
      </c>
      <c r="G51" s="16"/>
      <c r="H51" s="17"/>
      <c r="I51" s="18"/>
      <c r="J51" s="19"/>
      <c r="N51" s="20"/>
      <c r="O51" s="20"/>
      <c r="P51" s="20"/>
      <c r="Q51" s="21"/>
      <c r="R51" s="22"/>
      <c r="S51" s="22"/>
    </row>
    <row r="52" spans="1:19" ht="37.5">
      <c r="A52" s="15"/>
      <c r="B52" s="14" t="s">
        <v>943</v>
      </c>
      <c r="C52" s="16"/>
      <c r="D52" s="16"/>
      <c r="E52" s="16">
        <v>-1025.88</v>
      </c>
      <c r="F52" s="101">
        <f>E52</f>
        <v>-1025.88</v>
      </c>
      <c r="G52" s="16"/>
      <c r="H52" s="17"/>
      <c r="I52" s="18"/>
      <c r="J52" s="19"/>
      <c r="N52" s="20"/>
      <c r="O52" s="20"/>
      <c r="P52" s="20"/>
      <c r="Q52" s="21"/>
      <c r="R52" s="22"/>
      <c r="S52" s="22"/>
    </row>
    <row r="53" spans="1:24" ht="18.75">
      <c r="A53" s="12"/>
      <c r="B53" s="14" t="s">
        <v>9</v>
      </c>
      <c r="C53" s="13">
        <f>SUM(C13:C34)</f>
        <v>9.01</v>
      </c>
      <c r="D53" s="13">
        <f>SUM(D13:D34)</f>
        <v>9.6</v>
      </c>
      <c r="E53" s="16">
        <f>SUM(E13:E34)+E52</f>
        <v>166690.78979999997</v>
      </c>
      <c r="F53" s="16">
        <f>F13+F14+F15+F16+F17+F18+F52</f>
        <v>139950.51279999997</v>
      </c>
      <c r="G53" s="16">
        <f>G13+G14+G15+G16+G17+G18</f>
        <v>173033.85599999997</v>
      </c>
      <c r="H53" s="17">
        <f>1.04993597951*C53</f>
        <v>9.4599231753851</v>
      </c>
      <c r="I53" s="18">
        <f>1.12035851472*C53</f>
        <v>10.094430217627199</v>
      </c>
      <c r="J53" s="19">
        <f>J18</f>
        <v>0</v>
      </c>
      <c r="N53" s="20"/>
      <c r="Q53" s="24"/>
      <c r="R53" s="22">
        <f>SUM(R13:R34)</f>
        <v>8.620000000000001</v>
      </c>
      <c r="S53" s="22">
        <f>SUM(S13:S34)</f>
        <v>9.16</v>
      </c>
      <c r="T53" s="22"/>
      <c r="U53" s="22"/>
      <c r="V53" s="22">
        <f>SUM(V13:V34)</f>
        <v>21448.988400000002</v>
      </c>
      <c r="W53" s="22">
        <f>SUM(W13:W34)</f>
        <v>22350.206400000003</v>
      </c>
      <c r="X53" s="22">
        <f>SUM(X13:X34)</f>
        <v>43799.194800000005</v>
      </c>
    </row>
    <row r="54" spans="1:28" ht="18.75">
      <c r="A54" s="13">
        <v>5</v>
      </c>
      <c r="B54" s="25" t="s">
        <v>26</v>
      </c>
      <c r="C54" s="108">
        <v>1.58</v>
      </c>
      <c r="D54" s="108">
        <v>1.85</v>
      </c>
      <c r="E54" s="98">
        <f>Z54*AA54*6</f>
        <v>30911.777400000003</v>
      </c>
      <c r="F54" s="101">
        <f>E54</f>
        <v>30911.777400000003</v>
      </c>
      <c r="G54" s="101">
        <f>AB54*12*Z54</f>
        <v>34066.0404</v>
      </c>
      <c r="H54">
        <f>H19</f>
        <v>0</v>
      </c>
      <c r="I54" s="22">
        <f>C54+D54</f>
        <v>3.43</v>
      </c>
      <c r="J54" s="34">
        <v>3.43</v>
      </c>
      <c r="K54">
        <v>10</v>
      </c>
      <c r="L54">
        <v>2</v>
      </c>
      <c r="N54" s="20">
        <f>C54*J54*K54</f>
        <v>54.194</v>
      </c>
      <c r="O54" s="20" t="e">
        <f>#REF!*J54*L54</f>
        <v>#REF!</v>
      </c>
      <c r="P54" s="20" t="e">
        <f>SUM(N54:O54)</f>
        <v>#REF!</v>
      </c>
      <c r="Q54" s="21"/>
      <c r="R54" s="22">
        <v>1.47</v>
      </c>
      <c r="S54">
        <v>1.58</v>
      </c>
      <c r="T54">
        <v>6</v>
      </c>
      <c r="U54">
        <v>6</v>
      </c>
      <c r="V54">
        <f>R54*J54*T54</f>
        <v>30.2526</v>
      </c>
      <c r="W54">
        <f>S54*U54*J54</f>
        <v>32.516400000000004</v>
      </c>
      <c r="X54">
        <f>SUM(V54:W54)</f>
        <v>62.769000000000005</v>
      </c>
      <c r="Y54" t="e">
        <f>#REF!</f>
        <v>#REF!</v>
      </c>
      <c r="Z54" s="22">
        <f>C7</f>
        <v>1502.03</v>
      </c>
      <c r="AA54" s="34">
        <v>3.43</v>
      </c>
      <c r="AB54">
        <v>1.89</v>
      </c>
    </row>
    <row r="55" spans="1:17" ht="18.75">
      <c r="A55" s="10"/>
      <c r="B55" s="26"/>
      <c r="C55" s="10"/>
      <c r="D55" s="10"/>
      <c r="E55" s="10"/>
      <c r="F55" s="10"/>
      <c r="G55" s="10"/>
      <c r="H55" s="10"/>
      <c r="Q55" s="24"/>
    </row>
    <row r="56" spans="1:17" ht="18.75">
      <c r="A56" s="179" t="s">
        <v>941</v>
      </c>
      <c r="B56" s="179"/>
      <c r="C56" s="183">
        <v>27591.57</v>
      </c>
      <c r="D56" s="183"/>
      <c r="E56" s="6" t="s">
        <v>18</v>
      </c>
      <c r="F56" s="10"/>
      <c r="G56" s="10"/>
      <c r="H56" s="10"/>
      <c r="Q56" s="24"/>
    </row>
    <row r="57" spans="1:17" ht="18.75">
      <c r="A57" s="179" t="s">
        <v>942</v>
      </c>
      <c r="B57" s="179"/>
      <c r="C57" s="183">
        <v>27286.67</v>
      </c>
      <c r="D57" s="183"/>
      <c r="E57" s="6" t="s">
        <v>18</v>
      </c>
      <c r="F57" s="10"/>
      <c r="G57" s="10"/>
      <c r="H57" s="10"/>
      <c r="Q57" s="24"/>
    </row>
    <row r="58" spans="1:8" ht="18.75">
      <c r="A58" s="180" t="s">
        <v>17</v>
      </c>
      <c r="B58" s="180"/>
      <c r="C58" s="180"/>
      <c r="D58" s="180"/>
      <c r="E58" s="180"/>
      <c r="F58" s="180"/>
      <c r="G58" s="180"/>
      <c r="H58" s="10"/>
    </row>
    <row r="59" spans="1:8" ht="18.75" customHeight="1" hidden="1">
      <c r="A59" s="181" t="s">
        <v>35</v>
      </c>
      <c r="B59" s="181"/>
      <c r="C59" s="5" t="e">
        <f>C56-#REF!</f>
        <v>#REF!</v>
      </c>
      <c r="D59" s="10" t="s">
        <v>18</v>
      </c>
      <c r="E59" s="10"/>
      <c r="F59" s="10"/>
      <c r="G59" s="10"/>
      <c r="H59" s="10"/>
    </row>
    <row r="60" spans="1:8" ht="18.75" customHeight="1" hidden="1">
      <c r="A60" s="181" t="s">
        <v>36</v>
      </c>
      <c r="B60" s="181"/>
      <c r="C60" s="85">
        <f>E53-F53</f>
        <v>26740.277000000002</v>
      </c>
      <c r="D60" s="84" t="str">
        <f>D59</f>
        <v>рублей</v>
      </c>
      <c r="H60" s="28"/>
    </row>
  </sheetData>
  <sheetProtection/>
  <mergeCells count="18">
    <mergeCell ref="J9:Q12"/>
    <mergeCell ref="R9:X12"/>
    <mergeCell ref="A56:B56"/>
    <mergeCell ref="A1:G2"/>
    <mergeCell ref="A3:G3"/>
    <mergeCell ref="A4:H5"/>
    <mergeCell ref="A9:A11"/>
    <mergeCell ref="B9:B11"/>
    <mergeCell ref="C9:D10"/>
    <mergeCell ref="E9:E11"/>
    <mergeCell ref="F9:F11"/>
    <mergeCell ref="G9:G11"/>
    <mergeCell ref="C56:D56"/>
    <mergeCell ref="C57:D57"/>
    <mergeCell ref="A59:B59"/>
    <mergeCell ref="A60:B60"/>
    <mergeCell ref="A57:B57"/>
    <mergeCell ref="A58:G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O64"/>
  <sheetViews>
    <sheetView view="pageBreakPreview" zoomScale="75" zoomScaleSheetLayoutView="75" zoomScalePageLayoutView="0" workbookViewId="0" topLeftCell="A37">
      <selection activeCell="F58" sqref="F58"/>
    </sheetView>
  </sheetViews>
  <sheetFormatPr defaultColWidth="9.00390625" defaultRowHeight="12.75"/>
  <cols>
    <col min="1" max="1" width="9.25390625" style="0" bestFit="1" customWidth="1"/>
    <col min="2" max="2" width="47.875" style="0" customWidth="1"/>
    <col min="3" max="3" width="12.00390625" style="0" customWidth="1"/>
    <col min="4" max="4" width="15.125" style="0" customWidth="1"/>
    <col min="5" max="5" width="12.375" style="0" customWidth="1"/>
    <col min="6" max="6" width="16.75390625" style="0" customWidth="1"/>
    <col min="7" max="7" width="12.875" style="0" bestFit="1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1" width="9.25390625" style="0" hidden="1" customWidth="1"/>
    <col min="22" max="26" width="11.00390625" style="0" hidden="1" customWidth="1"/>
    <col min="27" max="38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42.75" customHeight="1">
      <c r="A3" s="182" t="s">
        <v>45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92">
        <v>833.3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184" t="s">
        <v>8</v>
      </c>
      <c r="B9" s="184" t="s">
        <v>6</v>
      </c>
      <c r="C9" s="185" t="s">
        <v>32</v>
      </c>
      <c r="D9" s="186"/>
      <c r="E9" s="189" t="s">
        <v>99</v>
      </c>
      <c r="F9" s="178" t="s">
        <v>74</v>
      </c>
      <c r="G9" s="178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55.5" customHeight="1">
      <c r="A10" s="184"/>
      <c r="B10" s="184"/>
      <c r="C10" s="187"/>
      <c r="D10" s="188"/>
      <c r="E10" s="190"/>
      <c r="F10" s="178"/>
      <c r="G10" s="178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128.25" customHeight="1">
      <c r="A11" s="184"/>
      <c r="B11" s="184"/>
      <c r="C11" s="87" t="s">
        <v>107</v>
      </c>
      <c r="D11" s="87" t="s">
        <v>106</v>
      </c>
      <c r="E11" s="191"/>
      <c r="F11" s="178"/>
      <c r="G11" s="178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13" t="s">
        <v>12</v>
      </c>
      <c r="B12" s="14" t="s">
        <v>20</v>
      </c>
      <c r="C12" s="13"/>
      <c r="D12" s="13"/>
      <c r="E12" s="13"/>
      <c r="F12" s="33"/>
      <c r="G12" s="3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41" ht="18.75">
      <c r="A13" s="15" t="s">
        <v>13</v>
      </c>
      <c r="B13" s="14" t="s">
        <v>10</v>
      </c>
      <c r="C13" s="34">
        <v>1.09</v>
      </c>
      <c r="D13" s="34">
        <v>1.14</v>
      </c>
      <c r="E13" s="16">
        <f aca="true" t="shared" si="0" ref="E13:E18">AM13*AN13*6</f>
        <v>11149.553999999998</v>
      </c>
      <c r="F13" s="34">
        <f>E13</f>
        <v>11149.553999999998</v>
      </c>
      <c r="G13" s="34">
        <f aca="true" t="shared" si="1" ref="G13:G18">AM13*AO13*12</f>
        <v>11399.543999999998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833.3</v>
      </c>
      <c r="K13">
        <v>6</v>
      </c>
      <c r="L13">
        <v>2</v>
      </c>
      <c r="M13">
        <v>4</v>
      </c>
      <c r="N13" s="20">
        <f aca="true" t="shared" si="4" ref="N13:N18">C13*J13*K13</f>
        <v>5449.782</v>
      </c>
      <c r="O13" s="20" t="e">
        <f>J13*#REF!*L13</f>
        <v>#REF!</v>
      </c>
      <c r="P13" s="20">
        <f aca="true" t="shared" si="5" ref="P13:P18">D13*J13*M13</f>
        <v>3799.8479999999995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5249.79</v>
      </c>
      <c r="W13">
        <f aca="true" t="shared" si="8" ref="W13:W18">U13*S13*J13</f>
        <v>5449.782</v>
      </c>
      <c r="X13">
        <f aca="true" t="shared" si="9" ref="X13:X18">SUM(V13:W13)</f>
        <v>10699.572</v>
      </c>
      <c r="AM13">
        <f>C7</f>
        <v>833.3</v>
      </c>
      <c r="AN13" s="22">
        <f aca="true" t="shared" si="10" ref="AN13:AN18">C13+D13</f>
        <v>2.23</v>
      </c>
      <c r="AO13" s="34">
        <v>1.14</v>
      </c>
    </row>
    <row r="14" spans="1:41" ht="37.5">
      <c r="A14" s="15" t="s">
        <v>14</v>
      </c>
      <c r="B14" s="14" t="s">
        <v>15</v>
      </c>
      <c r="C14" s="34">
        <v>1.39</v>
      </c>
      <c r="D14" s="34">
        <v>1.46</v>
      </c>
      <c r="E14" s="16">
        <f t="shared" si="0"/>
        <v>14249.429999999998</v>
      </c>
      <c r="F14" s="34">
        <f>E14</f>
        <v>14249.429999999998</v>
      </c>
      <c r="G14" s="34">
        <f t="shared" si="1"/>
        <v>14599.416</v>
      </c>
      <c r="H14" s="17">
        <f t="shared" si="2"/>
        <v>1.4594110115189</v>
      </c>
      <c r="I14" s="18">
        <f t="shared" si="3"/>
        <v>1.5572983354607999</v>
      </c>
      <c r="J14" s="19">
        <f>J13</f>
        <v>833.3</v>
      </c>
      <c r="K14">
        <v>6</v>
      </c>
      <c r="L14">
        <v>2</v>
      </c>
      <c r="M14">
        <v>4</v>
      </c>
      <c r="N14" s="20">
        <f t="shared" si="4"/>
        <v>6949.721999999999</v>
      </c>
      <c r="O14" s="20" t="e">
        <f>J14*#REF!*L14</f>
        <v>#REF!</v>
      </c>
      <c r="P14" s="20">
        <f t="shared" si="5"/>
        <v>4866.472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6649.734</v>
      </c>
      <c r="W14">
        <f t="shared" si="8"/>
        <v>6949.722</v>
      </c>
      <c r="X14">
        <f t="shared" si="9"/>
        <v>13599.456</v>
      </c>
      <c r="AM14">
        <f>AM13</f>
        <v>833.3</v>
      </c>
      <c r="AN14" s="22">
        <f t="shared" si="10"/>
        <v>2.8499999999999996</v>
      </c>
      <c r="AO14" s="34">
        <v>1.46</v>
      </c>
    </row>
    <row r="15" spans="1:41" ht="18.75">
      <c r="A15" s="15" t="s">
        <v>16</v>
      </c>
      <c r="B15" s="14" t="s">
        <v>7</v>
      </c>
      <c r="C15" s="34"/>
      <c r="D15" s="34"/>
      <c r="E15" s="16"/>
      <c r="F15" s="34"/>
      <c r="G15" s="34"/>
      <c r="H15" s="17">
        <f t="shared" si="2"/>
        <v>0</v>
      </c>
      <c r="I15" s="18">
        <f t="shared" si="3"/>
        <v>0</v>
      </c>
      <c r="J15" s="19">
        <f>J14</f>
        <v>833.3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649.9739999999999</v>
      </c>
      <c r="W15">
        <f t="shared" si="8"/>
        <v>0</v>
      </c>
      <c r="X15">
        <f t="shared" si="9"/>
        <v>649.9739999999999</v>
      </c>
      <c r="AM15">
        <f>AM14</f>
        <v>833.3</v>
      </c>
      <c r="AN15" s="22">
        <f t="shared" si="10"/>
        <v>0</v>
      </c>
      <c r="AO15" s="34">
        <v>0</v>
      </c>
    </row>
    <row r="16" spans="1:41" ht="18.75">
      <c r="A16" s="15" t="s">
        <v>21</v>
      </c>
      <c r="B16" s="14" t="s">
        <v>11</v>
      </c>
      <c r="C16" s="34">
        <v>0.82</v>
      </c>
      <c r="D16" s="34">
        <v>0.58</v>
      </c>
      <c r="E16" s="16">
        <f t="shared" si="0"/>
        <v>6999.719999999999</v>
      </c>
      <c r="F16" s="34">
        <f>E16</f>
        <v>6999.719999999999</v>
      </c>
      <c r="G16" s="34">
        <f t="shared" si="1"/>
        <v>5799.768</v>
      </c>
      <c r="H16" s="17">
        <f t="shared" si="2"/>
        <v>0.8609475031982</v>
      </c>
      <c r="I16" s="18">
        <f t="shared" si="3"/>
        <v>0.9186939820703999</v>
      </c>
      <c r="J16" s="19">
        <f>J15</f>
        <v>833.3</v>
      </c>
      <c r="K16">
        <v>6</v>
      </c>
      <c r="L16">
        <v>2</v>
      </c>
      <c r="M16">
        <v>4</v>
      </c>
      <c r="N16" s="20">
        <f t="shared" si="4"/>
        <v>4099.835999999999</v>
      </c>
      <c r="O16" s="20" t="e">
        <f>J16*#REF!*L16</f>
        <v>#REF!</v>
      </c>
      <c r="P16" s="20">
        <f t="shared" si="5"/>
        <v>1933.2559999999999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3949.842</v>
      </c>
      <c r="W16">
        <f t="shared" si="8"/>
        <v>4099.835999999999</v>
      </c>
      <c r="X16">
        <f t="shared" si="9"/>
        <v>8049.678</v>
      </c>
      <c r="AM16">
        <f>AM15</f>
        <v>833.3</v>
      </c>
      <c r="AN16" s="22">
        <f t="shared" si="10"/>
        <v>1.4</v>
      </c>
      <c r="AO16" s="34">
        <v>0.58</v>
      </c>
    </row>
    <row r="17" spans="1:41" ht="18.75">
      <c r="A17" s="15" t="s">
        <v>22</v>
      </c>
      <c r="B17" s="14" t="s">
        <v>19</v>
      </c>
      <c r="C17" s="34">
        <v>1.24</v>
      </c>
      <c r="D17" s="34">
        <v>1.24</v>
      </c>
      <c r="E17" s="16">
        <f t="shared" si="0"/>
        <v>12399.503999999999</v>
      </c>
      <c r="F17" s="34">
        <f>E17</f>
        <v>12399.503999999999</v>
      </c>
      <c r="G17" s="34">
        <f t="shared" si="1"/>
        <v>12399.503999999999</v>
      </c>
      <c r="H17" s="17">
        <f t="shared" si="2"/>
        <v>1.3019206145924</v>
      </c>
      <c r="I17" s="18">
        <f t="shared" si="3"/>
        <v>1.3892445582528</v>
      </c>
      <c r="J17" s="19">
        <f>J16</f>
        <v>833.3</v>
      </c>
      <c r="K17">
        <v>6</v>
      </c>
      <c r="L17">
        <v>2</v>
      </c>
      <c r="M17">
        <v>4</v>
      </c>
      <c r="N17" s="20">
        <f t="shared" si="4"/>
        <v>6199.7519999999995</v>
      </c>
      <c r="O17" s="20" t="e">
        <f>J17*#REF!*L17</f>
        <v>#REF!</v>
      </c>
      <c r="P17" s="20">
        <f t="shared" si="5"/>
        <v>4133.168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6199.7519999999995</v>
      </c>
      <c r="W17">
        <f t="shared" si="8"/>
        <v>6199.7519999999995</v>
      </c>
      <c r="X17">
        <f t="shared" si="9"/>
        <v>12399.503999999999</v>
      </c>
      <c r="AM17">
        <f>AM16</f>
        <v>833.3</v>
      </c>
      <c r="AN17" s="22">
        <f t="shared" si="10"/>
        <v>2.48</v>
      </c>
      <c r="AO17" s="34">
        <v>1.24</v>
      </c>
    </row>
    <row r="18" spans="1:41" ht="75">
      <c r="A18" s="15" t="s">
        <v>23</v>
      </c>
      <c r="B18" s="14" t="s">
        <v>24</v>
      </c>
      <c r="C18" s="34">
        <v>4.47</v>
      </c>
      <c r="D18" s="34">
        <v>5.18</v>
      </c>
      <c r="E18" s="16">
        <f t="shared" si="0"/>
        <v>48248.06999999999</v>
      </c>
      <c r="F18" s="98">
        <f>F20+F21+F23+F24+F25+F27+F28+F29+F31+F32+F33+F35+F37+F39+F41+F42+F44+F46+F45+F48+F49+F50+F52+F53+F55</f>
        <v>77780.14</v>
      </c>
      <c r="G18" s="34">
        <f t="shared" si="1"/>
        <v>51797.928</v>
      </c>
      <c r="H18" s="17">
        <f t="shared" si="2"/>
        <v>4.6932138284097</v>
      </c>
      <c r="I18" s="18">
        <f t="shared" si="3"/>
        <v>5.008002560798399</v>
      </c>
      <c r="J18" s="19">
        <f>J17</f>
        <v>833.3</v>
      </c>
      <c r="K18">
        <v>6</v>
      </c>
      <c r="L18">
        <v>2</v>
      </c>
      <c r="M18">
        <v>4</v>
      </c>
      <c r="N18" s="20">
        <f t="shared" si="4"/>
        <v>22349.106</v>
      </c>
      <c r="O18" s="20" t="e">
        <f>J18*#REF!*L18</f>
        <v>#REF!</v>
      </c>
      <c r="P18" s="20">
        <f t="shared" si="5"/>
        <v>17265.976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21049.158</v>
      </c>
      <c r="W18">
        <f t="shared" si="8"/>
        <v>23099.075999999997</v>
      </c>
      <c r="X18">
        <f t="shared" si="9"/>
        <v>44148.234</v>
      </c>
      <c r="AM18">
        <f>AM17</f>
        <v>833.3</v>
      </c>
      <c r="AN18" s="22">
        <f t="shared" si="10"/>
        <v>9.649999999999999</v>
      </c>
      <c r="AO18" s="34">
        <v>5.18</v>
      </c>
    </row>
    <row r="19" spans="1:19" ht="18.75">
      <c r="A19" s="15"/>
      <c r="B19" s="34" t="s">
        <v>75</v>
      </c>
      <c r="C19" s="34"/>
      <c r="D19" s="34"/>
      <c r="E19" s="34"/>
      <c r="F19" s="98"/>
      <c r="G19" s="34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37.5">
      <c r="A20" s="15"/>
      <c r="B20" s="14" t="s">
        <v>363</v>
      </c>
      <c r="C20" s="34"/>
      <c r="D20" s="34"/>
      <c r="E20" s="34"/>
      <c r="F20" s="117">
        <v>6232.5</v>
      </c>
      <c r="G20" s="34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37.5">
      <c r="A21" s="15"/>
      <c r="B21" s="14" t="s">
        <v>364</v>
      </c>
      <c r="C21" s="34"/>
      <c r="D21" s="34"/>
      <c r="E21" s="34"/>
      <c r="F21" s="117">
        <v>510.36</v>
      </c>
      <c r="G21" s="34"/>
      <c r="H21" s="17"/>
      <c r="I21" s="18"/>
      <c r="J21" s="19"/>
      <c r="N21" s="20"/>
      <c r="O21" s="20"/>
      <c r="P21" s="20"/>
      <c r="Q21" s="21"/>
      <c r="R21" s="22"/>
      <c r="S21" s="22"/>
    </row>
    <row r="22" spans="1:19" s="140" customFormat="1" ht="18.75">
      <c r="A22" s="136"/>
      <c r="B22" s="33" t="s">
        <v>88</v>
      </c>
      <c r="C22" s="31"/>
      <c r="D22" s="31"/>
      <c r="E22" s="31"/>
      <c r="F22" s="137"/>
      <c r="G22" s="31"/>
      <c r="H22" s="17"/>
      <c r="I22" s="138"/>
      <c r="J22" s="139"/>
      <c r="N22" s="141"/>
      <c r="O22" s="141"/>
      <c r="P22" s="141"/>
      <c r="Q22" s="142"/>
      <c r="R22" s="143"/>
      <c r="S22" s="143"/>
    </row>
    <row r="23" spans="1:19" ht="18.75">
      <c r="A23" s="15"/>
      <c r="B23" s="14" t="s">
        <v>365</v>
      </c>
      <c r="C23" s="34"/>
      <c r="D23" s="34"/>
      <c r="E23" s="34"/>
      <c r="F23" s="117">
        <v>498.32</v>
      </c>
      <c r="G23" s="34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15"/>
      <c r="B24" s="14" t="s">
        <v>366</v>
      </c>
      <c r="C24" s="34"/>
      <c r="D24" s="34"/>
      <c r="E24" s="34"/>
      <c r="F24" s="117">
        <v>437.42</v>
      </c>
      <c r="G24" s="34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20.25" customHeight="1">
      <c r="A25" s="15"/>
      <c r="B25" s="14" t="s">
        <v>367</v>
      </c>
      <c r="C25" s="34"/>
      <c r="D25" s="34"/>
      <c r="E25" s="34"/>
      <c r="F25" s="117">
        <v>1500.2</v>
      </c>
      <c r="G25" s="34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18.75">
      <c r="A26" s="15"/>
      <c r="B26" s="33" t="s">
        <v>89</v>
      </c>
      <c r="C26" s="34"/>
      <c r="D26" s="34"/>
      <c r="E26" s="34"/>
      <c r="F26" s="117"/>
      <c r="G26" s="34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15"/>
      <c r="B27" s="14" t="s">
        <v>368</v>
      </c>
      <c r="C27" s="34"/>
      <c r="D27" s="34"/>
      <c r="E27" s="34"/>
      <c r="F27" s="117">
        <v>6641.28</v>
      </c>
      <c r="G27" s="34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54" customHeight="1">
      <c r="A28" s="15"/>
      <c r="B28" s="14" t="s">
        <v>369</v>
      </c>
      <c r="C28" s="34"/>
      <c r="D28" s="34"/>
      <c r="E28" s="34"/>
      <c r="F28" s="117">
        <v>5559.31</v>
      </c>
      <c r="G28" s="34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33.75" customHeight="1">
      <c r="A29" s="15"/>
      <c r="B29" s="14" t="s">
        <v>370</v>
      </c>
      <c r="C29" s="34"/>
      <c r="D29" s="34"/>
      <c r="E29" s="34"/>
      <c r="F29" s="117">
        <v>414.84</v>
      </c>
      <c r="G29" s="34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18" customHeight="1">
      <c r="A30" s="15"/>
      <c r="B30" s="33" t="s">
        <v>371</v>
      </c>
      <c r="C30" s="34"/>
      <c r="D30" s="34"/>
      <c r="E30" s="34"/>
      <c r="F30" s="117"/>
      <c r="G30" s="34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33.75" customHeight="1">
      <c r="A31" s="15"/>
      <c r="B31" s="33" t="s">
        <v>372</v>
      </c>
      <c r="C31" s="34"/>
      <c r="D31" s="34"/>
      <c r="E31" s="34"/>
      <c r="F31" s="117">
        <v>3114.5</v>
      </c>
      <c r="G31" s="34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18.75" customHeight="1">
      <c r="A32" s="15"/>
      <c r="B32" s="83" t="s">
        <v>373</v>
      </c>
      <c r="C32" s="34"/>
      <c r="D32" s="34"/>
      <c r="E32" s="34"/>
      <c r="F32" s="117">
        <v>3113.1</v>
      </c>
      <c r="G32" s="34"/>
      <c r="H32" s="17"/>
      <c r="I32" s="18"/>
      <c r="J32" s="19"/>
      <c r="N32" s="20"/>
      <c r="O32" s="20"/>
      <c r="P32" s="20"/>
      <c r="Q32" s="21"/>
      <c r="R32" s="22"/>
      <c r="S32" s="22"/>
    </row>
    <row r="33" spans="1:19" ht="18.75" customHeight="1">
      <c r="A33" s="15"/>
      <c r="B33" s="83" t="s">
        <v>374</v>
      </c>
      <c r="C33" s="34"/>
      <c r="D33" s="34"/>
      <c r="E33" s="34"/>
      <c r="F33" s="117">
        <v>519.9</v>
      </c>
      <c r="G33" s="34"/>
      <c r="H33" s="17"/>
      <c r="I33" s="18"/>
      <c r="J33" s="19"/>
      <c r="N33" s="20"/>
      <c r="O33" s="20"/>
      <c r="P33" s="20"/>
      <c r="Q33" s="21"/>
      <c r="R33" s="22"/>
      <c r="S33" s="22"/>
    </row>
    <row r="34" spans="1:19" ht="18.75">
      <c r="A34" s="15"/>
      <c r="B34" s="33" t="s">
        <v>91</v>
      </c>
      <c r="C34" s="34"/>
      <c r="D34" s="34"/>
      <c r="E34" s="34"/>
      <c r="F34" s="117"/>
      <c r="G34" s="34"/>
      <c r="H34" s="17"/>
      <c r="I34" s="18"/>
      <c r="J34" s="19"/>
      <c r="N34" s="20"/>
      <c r="O34" s="20"/>
      <c r="P34" s="20"/>
      <c r="Q34" s="21"/>
      <c r="R34" s="22"/>
      <c r="S34" s="22"/>
    </row>
    <row r="35" spans="1:19" ht="18.75">
      <c r="A35" s="15"/>
      <c r="B35" s="14" t="s">
        <v>375</v>
      </c>
      <c r="C35" s="34"/>
      <c r="D35" s="34"/>
      <c r="E35" s="34"/>
      <c r="F35" s="117">
        <v>7704.06</v>
      </c>
      <c r="G35" s="34"/>
      <c r="H35" s="17"/>
      <c r="I35" s="18"/>
      <c r="J35" s="19"/>
      <c r="N35" s="20"/>
      <c r="O35" s="20"/>
      <c r="P35" s="20"/>
      <c r="Q35" s="21"/>
      <c r="R35" s="22"/>
      <c r="S35" s="22"/>
    </row>
    <row r="36" spans="1:19" ht="18.75">
      <c r="A36" s="15"/>
      <c r="B36" s="33" t="s">
        <v>92</v>
      </c>
      <c r="C36" s="34"/>
      <c r="D36" s="34"/>
      <c r="E36" s="34"/>
      <c r="F36" s="117"/>
      <c r="G36" s="34"/>
      <c r="H36" s="17"/>
      <c r="I36" s="18"/>
      <c r="J36" s="19"/>
      <c r="N36" s="20"/>
      <c r="O36" s="20"/>
      <c r="P36" s="20"/>
      <c r="Q36" s="21"/>
      <c r="R36" s="22"/>
      <c r="S36" s="22"/>
    </row>
    <row r="37" spans="1:19" ht="18.75">
      <c r="A37" s="15"/>
      <c r="B37" s="14" t="s">
        <v>376</v>
      </c>
      <c r="C37" s="34"/>
      <c r="D37" s="34"/>
      <c r="E37" s="34"/>
      <c r="F37" s="117">
        <v>3808.75</v>
      </c>
      <c r="G37" s="34"/>
      <c r="H37" s="17"/>
      <c r="I37" s="18"/>
      <c r="J37" s="19"/>
      <c r="N37" s="20"/>
      <c r="O37" s="20"/>
      <c r="P37" s="20"/>
      <c r="Q37" s="21"/>
      <c r="R37" s="22"/>
      <c r="S37" s="22"/>
    </row>
    <row r="38" spans="1:19" ht="18.75">
      <c r="A38" s="15"/>
      <c r="B38" s="33" t="s">
        <v>93</v>
      </c>
      <c r="C38" s="34"/>
      <c r="D38" s="34"/>
      <c r="E38" s="34"/>
      <c r="F38" s="117"/>
      <c r="G38" s="34"/>
      <c r="H38" s="17"/>
      <c r="I38" s="18"/>
      <c r="J38" s="19"/>
      <c r="N38" s="20"/>
      <c r="O38" s="20"/>
      <c r="P38" s="20"/>
      <c r="Q38" s="21"/>
      <c r="R38" s="22"/>
      <c r="S38" s="22"/>
    </row>
    <row r="39" spans="1:19" ht="18.75">
      <c r="A39" s="15"/>
      <c r="B39" s="33" t="s">
        <v>377</v>
      </c>
      <c r="C39" s="34"/>
      <c r="D39" s="34"/>
      <c r="E39" s="34"/>
      <c r="F39" s="117">
        <v>4573.82</v>
      </c>
      <c r="G39" s="34"/>
      <c r="H39" s="17"/>
      <c r="I39" s="18"/>
      <c r="J39" s="19"/>
      <c r="N39" s="20"/>
      <c r="O39" s="20"/>
      <c r="P39" s="20"/>
      <c r="Q39" s="21"/>
      <c r="R39" s="22"/>
      <c r="S39" s="22"/>
    </row>
    <row r="40" spans="1:19" ht="18.75">
      <c r="A40" s="15"/>
      <c r="B40" s="33" t="s">
        <v>94</v>
      </c>
      <c r="C40" s="34"/>
      <c r="D40" s="34"/>
      <c r="E40" s="34"/>
      <c r="F40" s="117"/>
      <c r="G40" s="34"/>
      <c r="H40" s="17"/>
      <c r="I40" s="18"/>
      <c r="J40" s="19"/>
      <c r="N40" s="20"/>
      <c r="O40" s="20"/>
      <c r="P40" s="20"/>
      <c r="Q40" s="21"/>
      <c r="R40" s="22"/>
      <c r="S40" s="22"/>
    </row>
    <row r="41" spans="1:19" ht="18.75">
      <c r="A41" s="15"/>
      <c r="B41" s="14" t="s">
        <v>378</v>
      </c>
      <c r="C41" s="34"/>
      <c r="D41" s="34"/>
      <c r="E41" s="34"/>
      <c r="F41" s="117">
        <v>498.32</v>
      </c>
      <c r="G41" s="34"/>
      <c r="H41" s="17"/>
      <c r="I41" s="18"/>
      <c r="J41" s="19"/>
      <c r="N41" s="20"/>
      <c r="O41" s="20"/>
      <c r="P41" s="20"/>
      <c r="Q41" s="21"/>
      <c r="R41" s="22"/>
      <c r="S41" s="22"/>
    </row>
    <row r="42" spans="1:19" ht="18.75">
      <c r="A42" s="15"/>
      <c r="B42" s="14" t="s">
        <v>379</v>
      </c>
      <c r="C42" s="34"/>
      <c r="D42" s="34"/>
      <c r="E42" s="34"/>
      <c r="F42" s="117">
        <v>1778.25</v>
      </c>
      <c r="G42" s="34"/>
      <c r="H42" s="17"/>
      <c r="I42" s="18"/>
      <c r="J42" s="19"/>
      <c r="N42" s="20"/>
      <c r="O42" s="20"/>
      <c r="P42" s="20"/>
      <c r="Q42" s="21"/>
      <c r="R42" s="22"/>
      <c r="S42" s="22"/>
    </row>
    <row r="43" spans="1:19" ht="18.75">
      <c r="A43" s="15"/>
      <c r="B43" s="33" t="s">
        <v>98</v>
      </c>
      <c r="C43" s="34"/>
      <c r="D43" s="34"/>
      <c r="E43" s="34"/>
      <c r="F43" s="117"/>
      <c r="G43" s="34"/>
      <c r="H43" s="17"/>
      <c r="I43" s="18"/>
      <c r="J43" s="19"/>
      <c r="N43" s="20"/>
      <c r="O43" s="20"/>
      <c r="P43" s="20"/>
      <c r="Q43" s="21"/>
      <c r="R43" s="22"/>
      <c r="S43" s="22"/>
    </row>
    <row r="44" spans="1:19" ht="37.5">
      <c r="A44" s="15"/>
      <c r="B44" s="14" t="s">
        <v>380</v>
      </c>
      <c r="C44" s="34"/>
      <c r="D44" s="34"/>
      <c r="E44" s="34"/>
      <c r="F44" s="117">
        <v>7562.92</v>
      </c>
      <c r="G44" s="34"/>
      <c r="H44" s="17"/>
      <c r="I44" s="18"/>
      <c r="J44" s="19"/>
      <c r="N44" s="20"/>
      <c r="O44" s="20"/>
      <c r="P44" s="20"/>
      <c r="Q44" s="21"/>
      <c r="R44" s="22"/>
      <c r="S44" s="22"/>
    </row>
    <row r="45" spans="1:19" ht="18.75">
      <c r="A45" s="15"/>
      <c r="B45" s="14" t="s">
        <v>381</v>
      </c>
      <c r="C45" s="34"/>
      <c r="D45" s="34"/>
      <c r="E45" s="34"/>
      <c r="F45" s="117">
        <v>2200</v>
      </c>
      <c r="G45" s="34"/>
      <c r="H45" s="17"/>
      <c r="I45" s="18"/>
      <c r="J45" s="19"/>
      <c r="N45" s="20"/>
      <c r="O45" s="20"/>
      <c r="P45" s="20"/>
      <c r="Q45" s="21"/>
      <c r="R45" s="22"/>
      <c r="S45" s="22"/>
    </row>
    <row r="46" spans="1:19" ht="21.75" customHeight="1">
      <c r="A46" s="15"/>
      <c r="B46" s="14" t="s">
        <v>367</v>
      </c>
      <c r="C46" s="34"/>
      <c r="D46" s="34"/>
      <c r="E46" s="34"/>
      <c r="F46" s="117">
        <v>2202.58</v>
      </c>
      <c r="G46" s="34"/>
      <c r="H46" s="17"/>
      <c r="I46" s="18"/>
      <c r="J46" s="19"/>
      <c r="N46" s="20"/>
      <c r="O46" s="20"/>
      <c r="P46" s="20"/>
      <c r="Q46" s="21"/>
      <c r="R46" s="22"/>
      <c r="S46" s="22"/>
    </row>
    <row r="47" spans="1:19" ht="18.75">
      <c r="A47" s="15"/>
      <c r="B47" s="33" t="s">
        <v>95</v>
      </c>
      <c r="C47" s="34"/>
      <c r="D47" s="34"/>
      <c r="E47" s="34"/>
      <c r="F47" s="117"/>
      <c r="G47" s="34"/>
      <c r="H47" s="17"/>
      <c r="I47" s="18"/>
      <c r="J47" s="19"/>
      <c r="N47" s="20"/>
      <c r="O47" s="20"/>
      <c r="P47" s="20"/>
      <c r="Q47" s="21"/>
      <c r="R47" s="22"/>
      <c r="S47" s="22"/>
    </row>
    <row r="48" spans="1:19" ht="37.5">
      <c r="A48" s="15"/>
      <c r="B48" s="14" t="s">
        <v>382</v>
      </c>
      <c r="C48" s="34"/>
      <c r="D48" s="34"/>
      <c r="E48" s="34"/>
      <c r="F48" s="117">
        <v>5513.04</v>
      </c>
      <c r="G48" s="34"/>
      <c r="H48" s="17"/>
      <c r="I48" s="18"/>
      <c r="J48" s="19"/>
      <c r="N48" s="20"/>
      <c r="O48" s="20"/>
      <c r="P48" s="20"/>
      <c r="Q48" s="21"/>
      <c r="R48" s="22"/>
      <c r="S48" s="22"/>
    </row>
    <row r="49" spans="1:19" ht="18.75">
      <c r="A49" s="15"/>
      <c r="B49" s="14" t="s">
        <v>383</v>
      </c>
      <c r="C49" s="34"/>
      <c r="D49" s="34"/>
      <c r="E49" s="34"/>
      <c r="F49" s="117">
        <v>67.55</v>
      </c>
      <c r="G49" s="34"/>
      <c r="H49" s="17"/>
      <c r="I49" s="18"/>
      <c r="J49" s="19"/>
      <c r="N49" s="20"/>
      <c r="O49" s="20"/>
      <c r="P49" s="20"/>
      <c r="Q49" s="21"/>
      <c r="R49" s="22"/>
      <c r="S49" s="22"/>
    </row>
    <row r="50" spans="1:19" ht="18.75">
      <c r="A50" s="15"/>
      <c r="B50" s="14" t="s">
        <v>384</v>
      </c>
      <c r="C50" s="34"/>
      <c r="D50" s="34"/>
      <c r="E50" s="34"/>
      <c r="F50" s="117">
        <v>106.09</v>
      </c>
      <c r="G50" s="34"/>
      <c r="H50" s="17"/>
      <c r="I50" s="18"/>
      <c r="J50" s="19"/>
      <c r="N50" s="20"/>
      <c r="O50" s="20"/>
      <c r="P50" s="20"/>
      <c r="Q50" s="21"/>
      <c r="R50" s="22"/>
      <c r="S50" s="22"/>
    </row>
    <row r="51" spans="1:19" ht="18.75">
      <c r="A51" s="15"/>
      <c r="B51" s="33" t="s">
        <v>96</v>
      </c>
      <c r="C51" s="34"/>
      <c r="D51" s="34"/>
      <c r="E51" s="34"/>
      <c r="F51" s="117"/>
      <c r="G51" s="34"/>
      <c r="H51" s="17"/>
      <c r="I51" s="18"/>
      <c r="J51" s="19"/>
      <c r="N51" s="20"/>
      <c r="O51" s="20"/>
      <c r="P51" s="20"/>
      <c r="Q51" s="21"/>
      <c r="R51" s="22"/>
      <c r="S51" s="22"/>
    </row>
    <row r="52" spans="1:19" ht="18.75">
      <c r="A52" s="15"/>
      <c r="B52" s="14" t="s">
        <v>385</v>
      </c>
      <c r="C52" s="34"/>
      <c r="D52" s="34"/>
      <c r="E52" s="34"/>
      <c r="F52" s="117">
        <v>6918.9</v>
      </c>
      <c r="G52" s="34"/>
      <c r="H52" s="17"/>
      <c r="I52" s="18"/>
      <c r="J52" s="19"/>
      <c r="N52" s="20"/>
      <c r="O52" s="20"/>
      <c r="P52" s="20"/>
      <c r="Q52" s="21"/>
      <c r="R52" s="22"/>
      <c r="S52" s="22"/>
    </row>
    <row r="53" spans="1:19" ht="37.5">
      <c r="A53" s="15"/>
      <c r="B53" s="14" t="s">
        <v>386</v>
      </c>
      <c r="C53" s="34"/>
      <c r="D53" s="34"/>
      <c r="E53" s="34"/>
      <c r="F53" s="117">
        <v>815.8</v>
      </c>
      <c r="G53" s="34"/>
      <c r="H53" s="17"/>
      <c r="I53" s="18"/>
      <c r="J53" s="19"/>
      <c r="N53" s="20"/>
      <c r="O53" s="20"/>
      <c r="P53" s="20"/>
      <c r="Q53" s="21"/>
      <c r="R53" s="22"/>
      <c r="S53" s="22"/>
    </row>
    <row r="54" spans="1:19" ht="18.75">
      <c r="A54" s="15"/>
      <c r="B54" s="33" t="s">
        <v>97</v>
      </c>
      <c r="C54" s="34"/>
      <c r="D54" s="34"/>
      <c r="E54" s="34"/>
      <c r="F54" s="117"/>
      <c r="G54" s="34"/>
      <c r="H54" s="17"/>
      <c r="I54" s="18"/>
      <c r="J54" s="19"/>
      <c r="N54" s="20"/>
      <c r="O54" s="20"/>
      <c r="P54" s="20"/>
      <c r="Q54" s="21"/>
      <c r="R54" s="22"/>
      <c r="S54" s="22"/>
    </row>
    <row r="55" spans="1:19" ht="56.25">
      <c r="A55" s="15"/>
      <c r="B55" s="14" t="s">
        <v>387</v>
      </c>
      <c r="C55" s="34"/>
      <c r="D55" s="34"/>
      <c r="E55" s="34"/>
      <c r="F55" s="117">
        <v>5488.33</v>
      </c>
      <c r="G55" s="34"/>
      <c r="H55" s="17"/>
      <c r="I55" s="18"/>
      <c r="J55" s="19"/>
      <c r="N55" s="20"/>
      <c r="O55" s="20"/>
      <c r="P55" s="20"/>
      <c r="Q55" s="21"/>
      <c r="R55" s="22"/>
      <c r="S55" s="22"/>
    </row>
    <row r="56" spans="1:19" ht="75">
      <c r="A56" s="15"/>
      <c r="B56" s="14" t="s">
        <v>943</v>
      </c>
      <c r="C56" s="34"/>
      <c r="D56" s="34"/>
      <c r="E56" s="34">
        <v>-641.62</v>
      </c>
      <c r="F56" s="117">
        <f>E56</f>
        <v>-641.62</v>
      </c>
      <c r="G56" s="34"/>
      <c r="H56" s="17"/>
      <c r="I56" s="18"/>
      <c r="J56" s="19"/>
      <c r="N56" s="20"/>
      <c r="O56" s="20"/>
      <c r="P56" s="20"/>
      <c r="Q56" s="21"/>
      <c r="R56" s="22"/>
      <c r="S56" s="22"/>
    </row>
    <row r="57" spans="1:24" ht="18.75">
      <c r="A57" s="12"/>
      <c r="B57" s="14" t="s">
        <v>9</v>
      </c>
      <c r="C57" s="33">
        <f>SUM(C13:C35)</f>
        <v>9.01</v>
      </c>
      <c r="D57" s="33">
        <f>SUM(D13:D35)</f>
        <v>9.6</v>
      </c>
      <c r="E57" s="34">
        <f>SUM(E13:E35)+E56</f>
        <v>92404.658</v>
      </c>
      <c r="F57" s="98">
        <f>F13+F14+F15+F16+F17+F18+F56</f>
        <v>121936.728</v>
      </c>
      <c r="G57" s="34">
        <f>SUM(G12:G55)</f>
        <v>95996.16</v>
      </c>
      <c r="H57" s="17">
        <f>1.04993597951*C57</f>
        <v>9.4599231753851</v>
      </c>
      <c r="I57" s="18">
        <f>1.12035851472*C57</f>
        <v>10.094430217627199</v>
      </c>
      <c r="J57" s="19">
        <f>J18</f>
        <v>833.3</v>
      </c>
      <c r="N57" s="20"/>
      <c r="Q57" s="24"/>
      <c r="R57" s="22">
        <f>SUM(R13:R35)</f>
        <v>8.75</v>
      </c>
      <c r="S57" s="22">
        <f>SUM(S13:S35)</f>
        <v>9.16</v>
      </c>
      <c r="T57" s="22"/>
      <c r="U57" s="22"/>
      <c r="V57" s="22">
        <f>SUM(V13:V35)</f>
        <v>43748.25</v>
      </c>
      <c r="W57" s="22">
        <f>SUM(W13:W35)</f>
        <v>45798.168</v>
      </c>
      <c r="X57" s="22">
        <f>SUM(X13:X35)</f>
        <v>89546.41799999999</v>
      </c>
    </row>
    <row r="58" spans="1:41" ht="18.75">
      <c r="A58" s="13">
        <v>5</v>
      </c>
      <c r="B58" s="25" t="s">
        <v>26</v>
      </c>
      <c r="C58" s="108">
        <v>1.58</v>
      </c>
      <c r="D58" s="108">
        <v>1.85</v>
      </c>
      <c r="E58" s="98">
        <f>AM58*AN58*6</f>
        <v>17149.314</v>
      </c>
      <c r="F58" s="101">
        <f>E58</f>
        <v>17149.314</v>
      </c>
      <c r="G58" s="101">
        <f>AO58*AM58*12</f>
        <v>18899.244</v>
      </c>
      <c r="H58">
        <f>H16</f>
        <v>0.8609475031982</v>
      </c>
      <c r="I58" s="22">
        <f>C58+D58</f>
        <v>3.43</v>
      </c>
      <c r="J58" s="34">
        <v>3.43</v>
      </c>
      <c r="K58">
        <v>10</v>
      </c>
      <c r="L58">
        <v>2</v>
      </c>
      <c r="N58" s="20">
        <f>C58*J58*K58</f>
        <v>54.194</v>
      </c>
      <c r="O58" s="20" t="e">
        <f>#REF!*J58*L58</f>
        <v>#REF!</v>
      </c>
      <c r="P58" s="20" t="e">
        <f>SUM(N58:O58)</f>
        <v>#REF!</v>
      </c>
      <c r="Q58" s="21"/>
      <c r="R58" s="22">
        <v>1.47</v>
      </c>
      <c r="S58">
        <v>1.58</v>
      </c>
      <c r="T58">
        <v>6</v>
      </c>
      <c r="U58">
        <v>6</v>
      </c>
      <c r="V58">
        <f>R58*J58*T58</f>
        <v>30.2526</v>
      </c>
      <c r="W58">
        <f>S58*U58*J58</f>
        <v>32.516400000000004</v>
      </c>
      <c r="X58">
        <f>SUM(V58:W58)</f>
        <v>62.769000000000005</v>
      </c>
      <c r="Y58" t="e">
        <f>#REF!</f>
        <v>#REF!</v>
      </c>
      <c r="Z58" s="22">
        <f>C4</f>
        <v>0</v>
      </c>
      <c r="AA58" s="34">
        <v>3.05</v>
      </c>
      <c r="AB58">
        <v>3.43</v>
      </c>
      <c r="AM58">
        <f>C7</f>
        <v>833.3</v>
      </c>
      <c r="AN58">
        <f>C58+D58</f>
        <v>3.43</v>
      </c>
      <c r="AO58">
        <v>1.89</v>
      </c>
    </row>
    <row r="59" spans="1:17" ht="18.75">
      <c r="A59" s="10"/>
      <c r="B59" s="26"/>
      <c r="C59" s="10"/>
      <c r="D59" s="10"/>
      <c r="E59" s="10"/>
      <c r="F59" s="10"/>
      <c r="G59" s="10"/>
      <c r="H59" s="10"/>
      <c r="Q59" s="24"/>
    </row>
    <row r="60" spans="1:17" ht="18.75">
      <c r="A60" s="179" t="s">
        <v>941</v>
      </c>
      <c r="B60" s="179"/>
      <c r="C60" s="29">
        <v>4726.61</v>
      </c>
      <c r="E60" s="6" t="s">
        <v>18</v>
      </c>
      <c r="F60" s="10"/>
      <c r="G60" s="10"/>
      <c r="H60" s="10"/>
      <c r="Q60" s="24"/>
    </row>
    <row r="61" spans="1:17" ht="18.75">
      <c r="A61" s="179" t="s">
        <v>942</v>
      </c>
      <c r="B61" s="179"/>
      <c r="C61" s="29">
        <v>1737.7</v>
      </c>
      <c r="E61" s="6" t="s">
        <v>18</v>
      </c>
      <c r="F61" s="10"/>
      <c r="G61" s="10"/>
      <c r="H61" s="10"/>
      <c r="Q61" s="24"/>
    </row>
    <row r="62" spans="1:8" ht="18.75">
      <c r="A62" s="180" t="s">
        <v>17</v>
      </c>
      <c r="B62" s="180"/>
      <c r="C62" s="180"/>
      <c r="D62" s="180"/>
      <c r="E62" s="180"/>
      <c r="F62" s="180"/>
      <c r="G62" s="180"/>
      <c r="H62" s="10"/>
    </row>
    <row r="63" spans="1:8" ht="18.75" customHeight="1" hidden="1">
      <c r="A63" s="181" t="s">
        <v>35</v>
      </c>
      <c r="B63" s="181"/>
      <c r="C63" s="5" t="e">
        <f>C60-#REF!</f>
        <v>#REF!</v>
      </c>
      <c r="D63" s="10" t="s">
        <v>18</v>
      </c>
      <c r="E63" s="10"/>
      <c r="F63" s="10"/>
      <c r="G63" s="10"/>
      <c r="H63" s="10"/>
    </row>
    <row r="64" spans="1:8" ht="18.75" customHeight="1" hidden="1">
      <c r="A64" s="181" t="s">
        <v>36</v>
      </c>
      <c r="B64" s="181"/>
      <c r="C64" s="85">
        <f>E57-F57</f>
        <v>-29532.070000000007</v>
      </c>
      <c r="D64" s="84" t="str">
        <f>D63</f>
        <v>рублей</v>
      </c>
      <c r="H64" s="28"/>
    </row>
  </sheetData>
  <sheetProtection/>
  <mergeCells count="16">
    <mergeCell ref="R9:X12"/>
    <mergeCell ref="A9:A11"/>
    <mergeCell ref="B9:B11"/>
    <mergeCell ref="C9:D10"/>
    <mergeCell ref="E9:E11"/>
    <mergeCell ref="A1:G2"/>
    <mergeCell ref="A3:G3"/>
    <mergeCell ref="A4:H5"/>
    <mergeCell ref="F9:F11"/>
    <mergeCell ref="G9:G11"/>
    <mergeCell ref="A62:G62"/>
    <mergeCell ref="A63:B63"/>
    <mergeCell ref="A64:B64"/>
    <mergeCell ref="A60:B60"/>
    <mergeCell ref="A61:B61"/>
    <mergeCell ref="J9:Q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O61"/>
  <sheetViews>
    <sheetView view="pageBreakPreview" zoomScale="80" zoomScaleSheetLayoutView="80" zoomScalePageLayoutView="0" workbookViewId="0" topLeftCell="A37">
      <selection activeCell="F55" sqref="F55"/>
    </sheetView>
  </sheetViews>
  <sheetFormatPr defaultColWidth="9.00390625" defaultRowHeight="12.75"/>
  <cols>
    <col min="1" max="1" width="9.25390625" style="0" bestFit="1" customWidth="1"/>
    <col min="2" max="2" width="47.625" style="0" customWidth="1"/>
    <col min="3" max="3" width="15.125" style="0" customWidth="1"/>
    <col min="4" max="4" width="14.00390625" style="0" customWidth="1"/>
    <col min="5" max="5" width="12.25390625" style="0" customWidth="1"/>
    <col min="6" max="6" width="15.625" style="0" bestFit="1" customWidth="1"/>
    <col min="7" max="7" width="12.875" style="0" bestFit="1" customWidth="1"/>
    <col min="8" max="8" width="11.625" style="0" customWidth="1"/>
    <col min="9" max="13" width="9.25390625" style="0" customWidth="1"/>
    <col min="14" max="14" width="9.875" style="0" customWidth="1"/>
    <col min="15" max="16" width="9.25390625" style="0" customWidth="1"/>
    <col min="17" max="17" width="9.875" style="0" customWidth="1"/>
    <col min="18" max="21" width="9.25390625" style="0" customWidth="1"/>
    <col min="22" max="23" width="11.00390625" style="0" customWidth="1"/>
    <col min="24" max="34" width="9.125" style="0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39" customHeight="1">
      <c r="A3" s="182" t="s">
        <v>46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5826.7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184" t="s">
        <v>8</v>
      </c>
      <c r="B9" s="184" t="s">
        <v>6</v>
      </c>
      <c r="C9" s="185" t="s">
        <v>32</v>
      </c>
      <c r="D9" s="186"/>
      <c r="E9" s="189" t="s">
        <v>99</v>
      </c>
      <c r="F9" s="178" t="s">
        <v>74</v>
      </c>
      <c r="G9" s="178" t="s">
        <v>218</v>
      </c>
      <c r="H9" s="11"/>
      <c r="I9" s="2"/>
      <c r="J9" s="197"/>
      <c r="K9" s="198"/>
      <c r="L9" s="198"/>
      <c r="M9" s="198"/>
      <c r="N9" s="198"/>
      <c r="O9" s="198"/>
      <c r="P9" s="198"/>
      <c r="Q9" s="198"/>
      <c r="R9" s="199"/>
      <c r="S9" s="199"/>
      <c r="T9" s="199"/>
      <c r="U9" s="199"/>
      <c r="V9" s="199"/>
      <c r="W9" s="199"/>
      <c r="X9" s="199"/>
    </row>
    <row r="10" spans="1:24" ht="42.75" customHeight="1">
      <c r="A10" s="184"/>
      <c r="B10" s="184"/>
      <c r="C10" s="187"/>
      <c r="D10" s="188"/>
      <c r="E10" s="190"/>
      <c r="F10" s="178"/>
      <c r="G10" s="178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105.75" customHeight="1">
      <c r="A11" s="184"/>
      <c r="B11" s="184"/>
      <c r="C11" s="87" t="s">
        <v>107</v>
      </c>
      <c r="D11" s="87" t="s">
        <v>106</v>
      </c>
      <c r="E11" s="191"/>
      <c r="F11" s="178"/>
      <c r="G11" s="178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13" t="s">
        <v>12</v>
      </c>
      <c r="B12" s="14" t="s">
        <v>20</v>
      </c>
      <c r="C12" s="13"/>
      <c r="D12" s="13"/>
      <c r="E12" s="33"/>
      <c r="F12" s="33"/>
      <c r="G12" s="3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19" ht="18.75">
      <c r="A13" s="15" t="s">
        <v>13</v>
      </c>
      <c r="B13" s="14" t="s">
        <v>10</v>
      </c>
      <c r="C13" s="34">
        <v>0.9</v>
      </c>
      <c r="D13" s="34">
        <v>1.14</v>
      </c>
      <c r="E13" s="34">
        <f aca="true" t="shared" si="0" ref="E13:E18">H13*I13*6</f>
        <v>71318.80799999999</v>
      </c>
      <c r="F13" s="34">
        <f>E13</f>
        <v>71318.80799999999</v>
      </c>
      <c r="G13" s="34">
        <f aca="true" t="shared" si="1" ref="G13:G18">H13*J13*12</f>
        <v>79709.256</v>
      </c>
      <c r="H13" s="17">
        <f>C7</f>
        <v>5826.7</v>
      </c>
      <c r="I13" s="18">
        <f aca="true" t="shared" si="2" ref="I13:I18">C13+D13</f>
        <v>2.04</v>
      </c>
      <c r="J13" s="34">
        <v>1.14</v>
      </c>
      <c r="N13" s="20"/>
      <c r="O13" s="20"/>
      <c r="P13" s="20"/>
      <c r="Q13" s="21"/>
      <c r="R13" s="22"/>
      <c r="S13" s="22"/>
    </row>
    <row r="14" spans="1:19" ht="37.5">
      <c r="A14" s="15" t="s">
        <v>14</v>
      </c>
      <c r="B14" s="14" t="s">
        <v>15</v>
      </c>
      <c r="C14" s="34">
        <v>1.39</v>
      </c>
      <c r="D14" s="34">
        <v>1.46</v>
      </c>
      <c r="E14" s="34">
        <f t="shared" si="0"/>
        <v>99636.56999999998</v>
      </c>
      <c r="F14" s="34">
        <f>E14</f>
        <v>99636.56999999998</v>
      </c>
      <c r="G14" s="34">
        <f t="shared" si="1"/>
        <v>102083.784</v>
      </c>
      <c r="H14" s="17">
        <f>H13</f>
        <v>5826.7</v>
      </c>
      <c r="I14" s="18">
        <f t="shared" si="2"/>
        <v>2.8499999999999996</v>
      </c>
      <c r="J14" s="34">
        <v>1.46</v>
      </c>
      <c r="N14" s="20"/>
      <c r="O14" s="20"/>
      <c r="P14" s="20"/>
      <c r="Q14" s="21"/>
      <c r="R14" s="22"/>
      <c r="S14" s="22"/>
    </row>
    <row r="15" spans="1:19" ht="18.75">
      <c r="A15" s="15" t="s">
        <v>16</v>
      </c>
      <c r="B15" s="14" t="s">
        <v>7</v>
      </c>
      <c r="C15" s="34"/>
      <c r="D15" s="34"/>
      <c r="E15" s="34"/>
      <c r="F15" s="34"/>
      <c r="G15" s="34"/>
      <c r="H15" s="17">
        <f>H14</f>
        <v>5826.7</v>
      </c>
      <c r="I15" s="18">
        <f t="shared" si="2"/>
        <v>0</v>
      </c>
      <c r="J15" s="34">
        <v>0</v>
      </c>
      <c r="N15" s="20"/>
      <c r="O15" s="20"/>
      <c r="P15" s="20"/>
      <c r="Q15" s="21"/>
      <c r="R15" s="22"/>
      <c r="S15" s="22"/>
    </row>
    <row r="16" spans="1:19" ht="18.75">
      <c r="A16" s="15" t="s">
        <v>21</v>
      </c>
      <c r="B16" s="14" t="s">
        <v>11</v>
      </c>
      <c r="C16" s="34">
        <v>0.82</v>
      </c>
      <c r="D16" s="34">
        <v>0.58</v>
      </c>
      <c r="E16" s="34">
        <f t="shared" si="0"/>
        <v>48944.28</v>
      </c>
      <c r="F16" s="34">
        <f>E16</f>
        <v>48944.28</v>
      </c>
      <c r="G16" s="34">
        <f t="shared" si="1"/>
        <v>40553.831999999995</v>
      </c>
      <c r="H16" s="17">
        <f>H15</f>
        <v>5826.7</v>
      </c>
      <c r="I16" s="18">
        <f t="shared" si="2"/>
        <v>1.4</v>
      </c>
      <c r="J16" s="34">
        <v>0.58</v>
      </c>
      <c r="N16" s="20"/>
      <c r="O16" s="20"/>
      <c r="P16" s="20"/>
      <c r="Q16" s="21"/>
      <c r="R16" s="22"/>
      <c r="S16" s="22"/>
    </row>
    <row r="17" spans="1:19" ht="18.75">
      <c r="A17" s="15" t="s">
        <v>22</v>
      </c>
      <c r="B17" s="14" t="s">
        <v>19</v>
      </c>
      <c r="C17" s="34">
        <v>1.24</v>
      </c>
      <c r="D17" s="34">
        <v>1.24</v>
      </c>
      <c r="E17" s="34">
        <f t="shared" si="0"/>
        <v>86701.296</v>
      </c>
      <c r="F17" s="34">
        <f>E17</f>
        <v>86701.296</v>
      </c>
      <c r="G17" s="34">
        <f t="shared" si="1"/>
        <v>86701.296</v>
      </c>
      <c r="H17" s="17">
        <f>H16</f>
        <v>5826.7</v>
      </c>
      <c r="I17" s="18">
        <f t="shared" si="2"/>
        <v>2.48</v>
      </c>
      <c r="J17" s="34">
        <v>1.24</v>
      </c>
      <c r="N17" s="20"/>
      <c r="O17" s="20"/>
      <c r="P17" s="20"/>
      <c r="Q17" s="21"/>
      <c r="R17" s="22"/>
      <c r="S17" s="22"/>
    </row>
    <row r="18" spans="1:19" ht="75">
      <c r="A18" s="15" t="s">
        <v>23</v>
      </c>
      <c r="B18" s="14" t="s">
        <v>24</v>
      </c>
      <c r="C18" s="34">
        <v>4.47</v>
      </c>
      <c r="D18" s="34">
        <v>5.18</v>
      </c>
      <c r="E18" s="34">
        <f t="shared" si="0"/>
        <v>337365.92999999993</v>
      </c>
      <c r="F18" s="98">
        <f>F20+F22+F23+F25+F26+F28+F30+F31+F32+F34+F36+F38+F39+F41+F42+F44+F45+F47+F48+F49+F51+F52</f>
        <v>161651.40000000002</v>
      </c>
      <c r="G18" s="34">
        <f t="shared" si="1"/>
        <v>362187.67199999996</v>
      </c>
      <c r="H18" s="17">
        <f>H17</f>
        <v>5826.7</v>
      </c>
      <c r="I18" s="18">
        <f t="shared" si="2"/>
        <v>9.649999999999999</v>
      </c>
      <c r="J18" s="34">
        <v>5.18</v>
      </c>
      <c r="N18" s="20"/>
      <c r="O18" s="20"/>
      <c r="P18" s="20"/>
      <c r="Q18" s="21"/>
      <c r="R18" s="22"/>
      <c r="S18" s="22"/>
    </row>
    <row r="19" spans="1:19" ht="18.75">
      <c r="A19" s="15"/>
      <c r="B19" s="33" t="s">
        <v>75</v>
      </c>
      <c r="C19" s="75"/>
      <c r="D19" s="75"/>
      <c r="E19" s="34"/>
      <c r="F19" s="98"/>
      <c r="G19" s="34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75" customHeight="1">
      <c r="A20" s="15"/>
      <c r="B20" s="31" t="s">
        <v>388</v>
      </c>
      <c r="C20" s="75"/>
      <c r="D20" s="75"/>
      <c r="E20" s="34"/>
      <c r="F20" s="98">
        <v>11163.91</v>
      </c>
      <c r="G20" s="34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15"/>
      <c r="B21" s="34" t="s">
        <v>88</v>
      </c>
      <c r="C21" s="75"/>
      <c r="D21" s="75"/>
      <c r="E21" s="34"/>
      <c r="F21" s="98"/>
      <c r="G21" s="34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75">
      <c r="A22" s="15"/>
      <c r="B22" s="34" t="s">
        <v>389</v>
      </c>
      <c r="C22" s="75"/>
      <c r="D22" s="75"/>
      <c r="E22" s="34"/>
      <c r="F22" s="98">
        <v>10818.06</v>
      </c>
      <c r="G22" s="34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37.5">
      <c r="A23" s="15"/>
      <c r="B23" s="31" t="s">
        <v>390</v>
      </c>
      <c r="C23" s="75"/>
      <c r="D23" s="75"/>
      <c r="E23" s="34"/>
      <c r="F23" s="98">
        <v>969.54</v>
      </c>
      <c r="G23" s="34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15"/>
      <c r="B24" s="33" t="s">
        <v>89</v>
      </c>
      <c r="C24" s="75"/>
      <c r="D24" s="75"/>
      <c r="E24" s="34"/>
      <c r="F24" s="98"/>
      <c r="G24" s="34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56.25">
      <c r="A25" s="15"/>
      <c r="B25" s="14" t="s">
        <v>391</v>
      </c>
      <c r="C25" s="75"/>
      <c r="D25" s="75"/>
      <c r="E25" s="34"/>
      <c r="F25" s="106">
        <v>8767.61</v>
      </c>
      <c r="G25" s="34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20.25" customHeight="1">
      <c r="A26" s="15"/>
      <c r="B26" s="14" t="s">
        <v>392</v>
      </c>
      <c r="C26" s="75"/>
      <c r="D26" s="75"/>
      <c r="E26" s="34"/>
      <c r="F26" s="106">
        <v>1550.18</v>
      </c>
      <c r="G26" s="34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20.25" customHeight="1">
      <c r="A27" s="15"/>
      <c r="B27" s="33" t="s">
        <v>90</v>
      </c>
      <c r="C27" s="75"/>
      <c r="D27" s="75"/>
      <c r="E27" s="34"/>
      <c r="F27" s="106"/>
      <c r="G27" s="34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38.25" customHeight="1">
      <c r="A28" s="15"/>
      <c r="B28" s="14" t="s">
        <v>393</v>
      </c>
      <c r="C28" s="75"/>
      <c r="D28" s="75"/>
      <c r="E28" s="34"/>
      <c r="F28" s="106">
        <v>6265.25</v>
      </c>
      <c r="G28" s="34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20.25" customHeight="1">
      <c r="A29" s="15"/>
      <c r="B29" s="33" t="s">
        <v>91</v>
      </c>
      <c r="C29" s="75"/>
      <c r="D29" s="75"/>
      <c r="E29" s="34"/>
      <c r="F29" s="106"/>
      <c r="G29" s="34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38.25" customHeight="1">
      <c r="A30" s="15"/>
      <c r="B30" s="14" t="s">
        <v>394</v>
      </c>
      <c r="C30" s="75"/>
      <c r="D30" s="75"/>
      <c r="E30" s="34"/>
      <c r="F30" s="106">
        <v>8354</v>
      </c>
      <c r="G30" s="34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38.25" customHeight="1">
      <c r="A31" s="15"/>
      <c r="B31" s="14" t="s">
        <v>398</v>
      </c>
      <c r="C31" s="75"/>
      <c r="D31" s="75"/>
      <c r="E31" s="34"/>
      <c r="F31" s="106">
        <v>3969.73</v>
      </c>
      <c r="G31" s="34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38.25" customHeight="1">
      <c r="A32" s="15"/>
      <c r="B32" s="14" t="s">
        <v>399</v>
      </c>
      <c r="C32" s="75"/>
      <c r="D32" s="75"/>
      <c r="E32" s="34"/>
      <c r="F32" s="106">
        <v>651.82</v>
      </c>
      <c r="G32" s="34"/>
      <c r="H32" s="17"/>
      <c r="I32" s="18"/>
      <c r="J32" s="19"/>
      <c r="N32" s="20"/>
      <c r="O32" s="20"/>
      <c r="P32" s="20"/>
      <c r="Q32" s="21"/>
      <c r="R32" s="22"/>
      <c r="S32" s="22"/>
    </row>
    <row r="33" spans="1:19" ht="18.75">
      <c r="A33" s="15"/>
      <c r="B33" s="33" t="s">
        <v>92</v>
      </c>
      <c r="C33" s="75"/>
      <c r="D33" s="75"/>
      <c r="E33" s="34"/>
      <c r="F33" s="106"/>
      <c r="G33" s="34"/>
      <c r="H33" s="17"/>
      <c r="I33" s="18"/>
      <c r="J33" s="19"/>
      <c r="N33" s="20"/>
      <c r="O33" s="20"/>
      <c r="P33" s="20"/>
      <c r="Q33" s="21"/>
      <c r="R33" s="22"/>
      <c r="S33" s="22"/>
    </row>
    <row r="34" spans="1:19" ht="75">
      <c r="A34" s="15"/>
      <c r="B34" s="14" t="s">
        <v>395</v>
      </c>
      <c r="C34" s="75"/>
      <c r="D34" s="75"/>
      <c r="E34" s="34"/>
      <c r="F34" s="106">
        <v>15967.25</v>
      </c>
      <c r="G34" s="34"/>
      <c r="H34" s="17"/>
      <c r="I34" s="18"/>
      <c r="J34" s="19"/>
      <c r="N34" s="20"/>
      <c r="O34" s="20"/>
      <c r="P34" s="20"/>
      <c r="Q34" s="21"/>
      <c r="R34" s="22"/>
      <c r="S34" s="22"/>
    </row>
    <row r="35" spans="1:19" ht="18.75">
      <c r="A35" s="15"/>
      <c r="B35" s="33" t="s">
        <v>93</v>
      </c>
      <c r="C35" s="75"/>
      <c r="D35" s="75"/>
      <c r="E35" s="34"/>
      <c r="F35" s="106"/>
      <c r="G35" s="34"/>
      <c r="H35" s="17"/>
      <c r="I35" s="18"/>
      <c r="J35" s="19"/>
      <c r="N35" s="20"/>
      <c r="O35" s="20"/>
      <c r="P35" s="20"/>
      <c r="Q35" s="21"/>
      <c r="R35" s="22"/>
      <c r="S35" s="22"/>
    </row>
    <row r="36" spans="1:19" ht="56.25">
      <c r="A36" s="15"/>
      <c r="B36" s="14" t="s">
        <v>400</v>
      </c>
      <c r="C36" s="75"/>
      <c r="D36" s="75"/>
      <c r="E36" s="34"/>
      <c r="F36" s="106">
        <v>18729.16</v>
      </c>
      <c r="G36" s="34"/>
      <c r="H36" s="17"/>
      <c r="I36" s="18"/>
      <c r="J36" s="19"/>
      <c r="N36" s="20"/>
      <c r="O36" s="20"/>
      <c r="P36" s="20"/>
      <c r="Q36" s="21"/>
      <c r="R36" s="22"/>
      <c r="S36" s="22"/>
    </row>
    <row r="37" spans="1:19" ht="18.75">
      <c r="A37" s="15"/>
      <c r="B37" s="33" t="s">
        <v>94</v>
      </c>
      <c r="C37" s="75"/>
      <c r="D37" s="75"/>
      <c r="E37" s="34"/>
      <c r="F37" s="106"/>
      <c r="G37" s="34"/>
      <c r="H37" s="17"/>
      <c r="I37" s="18"/>
      <c r="J37" s="19"/>
      <c r="N37" s="20"/>
      <c r="O37" s="20"/>
      <c r="P37" s="20"/>
      <c r="Q37" s="21"/>
      <c r="R37" s="22"/>
      <c r="S37" s="22"/>
    </row>
    <row r="38" spans="1:19" ht="37.5">
      <c r="A38" s="15"/>
      <c r="B38" s="14" t="s">
        <v>396</v>
      </c>
      <c r="C38" s="75"/>
      <c r="D38" s="75"/>
      <c r="E38" s="34"/>
      <c r="F38" s="106">
        <v>11599.89</v>
      </c>
      <c r="G38" s="34"/>
      <c r="H38" s="17"/>
      <c r="I38" s="18"/>
      <c r="J38" s="19"/>
      <c r="N38" s="20"/>
      <c r="O38" s="20"/>
      <c r="P38" s="20"/>
      <c r="Q38" s="21"/>
      <c r="R38" s="22"/>
      <c r="S38" s="22"/>
    </row>
    <row r="39" spans="1:19" ht="37.5">
      <c r="A39" s="15"/>
      <c r="B39" s="14" t="s">
        <v>397</v>
      </c>
      <c r="C39" s="75"/>
      <c r="D39" s="75"/>
      <c r="E39" s="34"/>
      <c r="F39" s="106">
        <v>671.47</v>
      </c>
      <c r="G39" s="34"/>
      <c r="H39" s="17"/>
      <c r="I39" s="18"/>
      <c r="J39" s="19"/>
      <c r="N39" s="20"/>
      <c r="O39" s="20"/>
      <c r="P39" s="20"/>
      <c r="Q39" s="21"/>
      <c r="R39" s="22"/>
      <c r="S39" s="22"/>
    </row>
    <row r="40" spans="1:19" ht="18.75">
      <c r="A40" s="15"/>
      <c r="B40" s="33" t="s">
        <v>98</v>
      </c>
      <c r="C40" s="75"/>
      <c r="D40" s="75"/>
      <c r="E40" s="34"/>
      <c r="F40" s="106"/>
      <c r="G40" s="34"/>
      <c r="H40" s="17"/>
      <c r="I40" s="18"/>
      <c r="J40" s="19"/>
      <c r="N40" s="20"/>
      <c r="O40" s="20"/>
      <c r="P40" s="20"/>
      <c r="Q40" s="21"/>
      <c r="R40" s="22"/>
      <c r="S40" s="22"/>
    </row>
    <row r="41" spans="1:19" ht="56.25">
      <c r="A41" s="15"/>
      <c r="B41" s="14" t="s">
        <v>401</v>
      </c>
      <c r="C41" s="75"/>
      <c r="D41" s="75"/>
      <c r="E41" s="34"/>
      <c r="F41" s="106">
        <v>8514.81</v>
      </c>
      <c r="G41" s="34"/>
      <c r="H41" s="17"/>
      <c r="I41" s="18"/>
      <c r="J41" s="19"/>
      <c r="N41" s="20"/>
      <c r="O41" s="20"/>
      <c r="P41" s="20"/>
      <c r="Q41" s="21"/>
      <c r="R41" s="22"/>
      <c r="S41" s="22"/>
    </row>
    <row r="42" spans="1:19" ht="37.5">
      <c r="A42" s="15"/>
      <c r="B42" s="14" t="s">
        <v>402</v>
      </c>
      <c r="C42" s="75"/>
      <c r="D42" s="75"/>
      <c r="E42" s="34"/>
      <c r="F42" s="106">
        <v>1115.85</v>
      </c>
      <c r="G42" s="34"/>
      <c r="H42" s="17"/>
      <c r="I42" s="18"/>
      <c r="J42" s="19"/>
      <c r="N42" s="20"/>
      <c r="O42" s="20"/>
      <c r="P42" s="20"/>
      <c r="Q42" s="21"/>
      <c r="R42" s="22"/>
      <c r="S42" s="22"/>
    </row>
    <row r="43" spans="1:19" ht="18.75">
      <c r="A43" s="15"/>
      <c r="B43" s="33" t="s">
        <v>95</v>
      </c>
      <c r="C43" s="75"/>
      <c r="D43" s="75"/>
      <c r="E43" s="34"/>
      <c r="F43" s="106"/>
      <c r="G43" s="34"/>
      <c r="H43" s="17"/>
      <c r="I43" s="18"/>
      <c r="J43" s="19"/>
      <c r="N43" s="20"/>
      <c r="O43" s="20"/>
      <c r="P43" s="20"/>
      <c r="Q43" s="21"/>
      <c r="R43" s="22"/>
      <c r="S43" s="22"/>
    </row>
    <row r="44" spans="1:19" ht="75">
      <c r="A44" s="15"/>
      <c r="B44" s="14" t="s">
        <v>403</v>
      </c>
      <c r="C44" s="75"/>
      <c r="D44" s="75"/>
      <c r="E44" s="34"/>
      <c r="F44" s="106">
        <v>17582.77</v>
      </c>
      <c r="G44" s="34"/>
      <c r="H44" s="17"/>
      <c r="I44" s="18"/>
      <c r="J44" s="19"/>
      <c r="N44" s="20"/>
      <c r="O44" s="20"/>
      <c r="P44" s="20"/>
      <c r="Q44" s="21"/>
      <c r="R44" s="22"/>
      <c r="S44" s="22"/>
    </row>
    <row r="45" spans="1:19" ht="37.5">
      <c r="A45" s="15"/>
      <c r="B45" s="14" t="s">
        <v>404</v>
      </c>
      <c r="C45" s="75"/>
      <c r="D45" s="75"/>
      <c r="E45" s="34"/>
      <c r="F45" s="106">
        <v>1777.18</v>
      </c>
      <c r="G45" s="34"/>
      <c r="H45" s="17"/>
      <c r="I45" s="18"/>
      <c r="J45" s="19"/>
      <c r="N45" s="20"/>
      <c r="O45" s="20"/>
      <c r="P45" s="20"/>
      <c r="Q45" s="21"/>
      <c r="R45" s="22"/>
      <c r="S45" s="22"/>
    </row>
    <row r="46" spans="1:19" ht="18.75">
      <c r="A46" s="15"/>
      <c r="B46" s="33" t="s">
        <v>96</v>
      </c>
      <c r="C46" s="75"/>
      <c r="D46" s="75"/>
      <c r="E46" s="34"/>
      <c r="F46" s="106"/>
      <c r="G46" s="34"/>
      <c r="H46" s="17"/>
      <c r="I46" s="18"/>
      <c r="J46" s="19"/>
      <c r="N46" s="20"/>
      <c r="O46" s="20"/>
      <c r="P46" s="20"/>
      <c r="Q46" s="21"/>
      <c r="R46" s="22"/>
      <c r="S46" s="22"/>
    </row>
    <row r="47" spans="1:19" ht="37.5">
      <c r="A47" s="15"/>
      <c r="B47" s="14" t="s">
        <v>405</v>
      </c>
      <c r="C47" s="75"/>
      <c r="D47" s="75"/>
      <c r="E47" s="34"/>
      <c r="F47" s="106">
        <v>5018.68</v>
      </c>
      <c r="G47" s="34"/>
      <c r="H47" s="17"/>
      <c r="I47" s="18"/>
      <c r="J47" s="19"/>
      <c r="N47" s="20"/>
      <c r="O47" s="20"/>
      <c r="P47" s="20"/>
      <c r="Q47" s="21"/>
      <c r="R47" s="22"/>
      <c r="S47" s="22"/>
    </row>
    <row r="48" spans="1:19" ht="37.5">
      <c r="A48" s="15"/>
      <c r="B48" s="14" t="s">
        <v>406</v>
      </c>
      <c r="C48" s="75"/>
      <c r="D48" s="75"/>
      <c r="E48" s="34"/>
      <c r="F48" s="106">
        <v>19557.2</v>
      </c>
      <c r="G48" s="34"/>
      <c r="H48" s="17"/>
      <c r="I48" s="18"/>
      <c r="J48" s="19"/>
      <c r="N48" s="20"/>
      <c r="O48" s="20"/>
      <c r="P48" s="20"/>
      <c r="Q48" s="21"/>
      <c r="R48" s="22"/>
      <c r="S48" s="22"/>
    </row>
    <row r="49" spans="1:19" ht="37.5">
      <c r="A49" s="15"/>
      <c r="B49" s="14" t="s">
        <v>407</v>
      </c>
      <c r="C49" s="75"/>
      <c r="D49" s="75"/>
      <c r="E49" s="34"/>
      <c r="F49" s="106">
        <v>835.95</v>
      </c>
      <c r="G49" s="34"/>
      <c r="H49" s="17"/>
      <c r="I49" s="18"/>
      <c r="J49" s="19"/>
      <c r="N49" s="20"/>
      <c r="O49" s="20"/>
      <c r="P49" s="20"/>
      <c r="Q49" s="21"/>
      <c r="R49" s="22"/>
      <c r="S49" s="22"/>
    </row>
    <row r="50" spans="1:19" ht="18.75">
      <c r="A50" s="15"/>
      <c r="B50" s="33" t="s">
        <v>97</v>
      </c>
      <c r="C50" s="75"/>
      <c r="D50" s="75"/>
      <c r="E50" s="34"/>
      <c r="F50" s="106"/>
      <c r="G50" s="34"/>
      <c r="H50" s="17"/>
      <c r="I50" s="18"/>
      <c r="J50" s="19"/>
      <c r="N50" s="20"/>
      <c r="O50" s="20"/>
      <c r="P50" s="20"/>
      <c r="Q50" s="21"/>
      <c r="R50" s="22"/>
      <c r="S50" s="22"/>
    </row>
    <row r="51" spans="1:19" ht="56.25">
      <c r="A51" s="15"/>
      <c r="B51" s="14" t="s">
        <v>408</v>
      </c>
      <c r="C51" s="75"/>
      <c r="D51" s="75"/>
      <c r="E51" s="34"/>
      <c r="F51" s="106">
        <v>7114.84</v>
      </c>
      <c r="G51" s="34"/>
      <c r="H51" s="17"/>
      <c r="I51" s="18"/>
      <c r="J51" s="19"/>
      <c r="N51" s="20"/>
      <c r="O51" s="20"/>
      <c r="P51" s="20"/>
      <c r="Q51" s="21"/>
      <c r="R51" s="22"/>
      <c r="S51" s="22"/>
    </row>
    <row r="52" spans="1:19" ht="37.5">
      <c r="A52" s="15"/>
      <c r="B52" s="14" t="s">
        <v>409</v>
      </c>
      <c r="C52" s="75"/>
      <c r="D52" s="75"/>
      <c r="E52" s="34"/>
      <c r="F52" s="106">
        <v>656.25</v>
      </c>
      <c r="G52" s="34"/>
      <c r="H52" s="17"/>
      <c r="I52" s="18"/>
      <c r="J52" s="19"/>
      <c r="N52" s="20"/>
      <c r="O52" s="20"/>
      <c r="P52" s="20"/>
      <c r="Q52" s="21"/>
      <c r="R52" s="22"/>
      <c r="S52" s="22"/>
    </row>
    <row r="53" spans="1:19" ht="57.75" customHeight="1">
      <c r="A53" s="15"/>
      <c r="B53" s="14" t="s">
        <v>943</v>
      </c>
      <c r="C53" s="75"/>
      <c r="D53" s="75"/>
      <c r="E53" s="34">
        <v>-1395.36</v>
      </c>
      <c r="F53" s="98">
        <f>E53</f>
        <v>-1395.36</v>
      </c>
      <c r="G53" s="34"/>
      <c r="H53" s="17"/>
      <c r="I53" s="18"/>
      <c r="J53" s="19"/>
      <c r="N53" s="20"/>
      <c r="O53" s="20"/>
      <c r="P53" s="20"/>
      <c r="Q53" s="21"/>
      <c r="R53" s="22"/>
      <c r="S53" s="22"/>
    </row>
    <row r="54" spans="1:24" ht="18.75">
      <c r="A54" s="12"/>
      <c r="B54" s="14" t="s">
        <v>9</v>
      </c>
      <c r="C54" s="93">
        <f>SUM(C13:C36)</f>
        <v>8.82</v>
      </c>
      <c r="D54" s="93">
        <f>SUM(D13:D36)</f>
        <v>9.6</v>
      </c>
      <c r="E54" s="34">
        <f>SUM(E13:E36)+E53</f>
        <v>642571.5239999999</v>
      </c>
      <c r="F54" s="98">
        <f>F13+F14+F15+F16+F17+F18+F53</f>
        <v>466856.994</v>
      </c>
      <c r="G54" s="34">
        <f>SUM(G12:G52)</f>
        <v>671235.8399999999</v>
      </c>
      <c r="H54" s="17"/>
      <c r="I54" s="18"/>
      <c r="J54" s="19"/>
      <c r="N54" s="20"/>
      <c r="Q54" s="24"/>
      <c r="R54" s="22"/>
      <c r="S54" s="22"/>
      <c r="T54" s="22"/>
      <c r="U54" s="22"/>
      <c r="V54" s="22"/>
      <c r="W54" s="22"/>
      <c r="X54" s="22"/>
    </row>
    <row r="55" spans="1:41" ht="18.75">
      <c r="A55" s="13">
        <v>5</v>
      </c>
      <c r="B55" s="25" t="s">
        <v>26</v>
      </c>
      <c r="C55" s="108">
        <v>1.58</v>
      </c>
      <c r="D55" s="108">
        <v>1.85</v>
      </c>
      <c r="E55" s="98">
        <f>H55*I55*6</f>
        <v>119913.486</v>
      </c>
      <c r="F55" s="101">
        <f>E55</f>
        <v>119913.486</v>
      </c>
      <c r="G55" s="101">
        <f>J55*12*H55</f>
        <v>132149.55599999998</v>
      </c>
      <c r="H55">
        <f>C7</f>
        <v>5826.7</v>
      </c>
      <c r="I55" s="22">
        <f>C55+D55</f>
        <v>3.43</v>
      </c>
      <c r="J55" s="34">
        <v>1.89</v>
      </c>
      <c r="K55">
        <v>10</v>
      </c>
      <c r="L55">
        <v>2</v>
      </c>
      <c r="N55" s="20">
        <f>C55*J55*K55</f>
        <v>29.862000000000002</v>
      </c>
      <c r="O55" s="20" t="e">
        <f>#REF!*J55*L55</f>
        <v>#REF!</v>
      </c>
      <c r="P55" s="20" t="e">
        <f>SUM(N55:O55)</f>
        <v>#REF!</v>
      </c>
      <c r="Q55" s="21"/>
      <c r="R55" s="22">
        <v>1.47</v>
      </c>
      <c r="S55">
        <v>1.58</v>
      </c>
      <c r="T55">
        <v>6</v>
      </c>
      <c r="U55">
        <v>6</v>
      </c>
      <c r="V55">
        <f>R55*J55*T55</f>
        <v>16.6698</v>
      </c>
      <c r="W55">
        <f>S55*U55*J55</f>
        <v>17.9172</v>
      </c>
      <c r="X55">
        <f>SUM(V55:W55)</f>
        <v>34.587</v>
      </c>
      <c r="Y55" t="e">
        <f>#REF!</f>
        <v>#REF!</v>
      </c>
      <c r="Z55" s="22" t="str">
        <f>C9</f>
        <v>Принято в тарифе            (руб.коп. на 1 кв.м. общей площади в месяц)</v>
      </c>
      <c r="AA55" s="34">
        <v>3.05</v>
      </c>
      <c r="AB55">
        <v>3.43</v>
      </c>
      <c r="AM55">
        <f>C12</f>
        <v>0</v>
      </c>
      <c r="AN55">
        <f>C55+D55</f>
        <v>3.43</v>
      </c>
      <c r="AO55">
        <f>1.85+1.58</f>
        <v>3.43</v>
      </c>
    </row>
    <row r="56" spans="1:17" ht="18.75">
      <c r="A56" s="10"/>
      <c r="B56" s="26"/>
      <c r="C56" s="10"/>
      <c r="D56" s="10"/>
      <c r="E56" s="10"/>
      <c r="F56" s="10"/>
      <c r="G56" s="10"/>
      <c r="H56" s="10"/>
      <c r="Q56" s="24"/>
    </row>
    <row r="57" spans="1:17" ht="18.75">
      <c r="A57" s="179" t="s">
        <v>941</v>
      </c>
      <c r="B57" s="179"/>
      <c r="C57" s="183">
        <v>141398.36</v>
      </c>
      <c r="D57" s="183"/>
      <c r="E57" s="6" t="s">
        <v>18</v>
      </c>
      <c r="F57" s="10"/>
      <c r="G57" s="10"/>
      <c r="H57" s="10"/>
      <c r="Q57" s="24"/>
    </row>
    <row r="58" spans="1:17" ht="18.75">
      <c r="A58" s="179" t="s">
        <v>942</v>
      </c>
      <c r="B58" s="179"/>
      <c r="C58" s="183">
        <v>114884.89</v>
      </c>
      <c r="D58" s="183"/>
      <c r="E58" s="6" t="s">
        <v>18</v>
      </c>
      <c r="F58" s="10"/>
      <c r="G58" s="10"/>
      <c r="H58" s="10"/>
      <c r="Q58" s="24"/>
    </row>
    <row r="59" spans="1:8" ht="18.75">
      <c r="A59" s="180" t="s">
        <v>17</v>
      </c>
      <c r="B59" s="180"/>
      <c r="C59" s="180"/>
      <c r="D59" s="180"/>
      <c r="E59" s="180"/>
      <c r="F59" s="180"/>
      <c r="G59" s="180"/>
      <c r="H59" s="10"/>
    </row>
    <row r="60" spans="1:8" ht="18.75" customHeight="1" hidden="1">
      <c r="A60" s="181" t="s">
        <v>35</v>
      </c>
      <c r="B60" s="181"/>
      <c r="C60" s="5" t="e">
        <f>C57-#REF!</f>
        <v>#REF!</v>
      </c>
      <c r="D60" s="10" t="s">
        <v>18</v>
      </c>
      <c r="E60" s="10"/>
      <c r="F60" s="10"/>
      <c r="G60" s="10"/>
      <c r="H60" s="10"/>
    </row>
    <row r="61" spans="1:8" ht="18.75" customHeight="1" hidden="1">
      <c r="A61" s="181" t="s">
        <v>36</v>
      </c>
      <c r="B61" s="181"/>
      <c r="C61" s="85">
        <f>E54-F54</f>
        <v>175714.52999999985</v>
      </c>
      <c r="D61" s="84" t="str">
        <f>D60</f>
        <v>рублей</v>
      </c>
      <c r="H61" s="28"/>
    </row>
  </sheetData>
  <sheetProtection/>
  <mergeCells count="18">
    <mergeCell ref="A1:G2"/>
    <mergeCell ref="A3:G3"/>
    <mergeCell ref="A4:H5"/>
    <mergeCell ref="F9:F11"/>
    <mergeCell ref="G9:G11"/>
    <mergeCell ref="J9:Q12"/>
    <mergeCell ref="R9:X12"/>
    <mergeCell ref="A9:A11"/>
    <mergeCell ref="B9:B11"/>
    <mergeCell ref="E9:E11"/>
    <mergeCell ref="C9:D10"/>
    <mergeCell ref="C57:D57"/>
    <mergeCell ref="C58:D58"/>
    <mergeCell ref="A59:G59"/>
    <mergeCell ref="A60:B60"/>
    <mergeCell ref="A61:B61"/>
    <mergeCell ref="A57:B57"/>
    <mergeCell ref="A58:B5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  <rowBreaks count="1" manualBreakCount="1">
    <brk id="32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71"/>
  <sheetViews>
    <sheetView view="pageBreakPreview" zoomScale="75" zoomScaleSheetLayoutView="75" zoomScalePageLayoutView="0" workbookViewId="0" topLeftCell="A52">
      <selection activeCell="O59" sqref="O59"/>
    </sheetView>
  </sheetViews>
  <sheetFormatPr defaultColWidth="9.00390625" defaultRowHeight="12.75"/>
  <cols>
    <col min="2" max="2" width="47.125" style="0" customWidth="1"/>
    <col min="3" max="4" width="12.625" style="0" customWidth="1"/>
    <col min="5" max="5" width="15.625" style="0" customWidth="1"/>
    <col min="6" max="6" width="15.75390625" style="0" bestFit="1" customWidth="1"/>
    <col min="7" max="7" width="15.75390625" style="0" customWidth="1"/>
    <col min="8" max="8" width="13.00390625" style="0" customWidth="1"/>
  </cols>
  <sheetData>
    <row r="1" spans="1:7" ht="12.75">
      <c r="A1" s="179" t="s">
        <v>25</v>
      </c>
      <c r="B1" s="179"/>
      <c r="C1" s="179"/>
      <c r="D1" s="179"/>
      <c r="E1" s="179"/>
      <c r="F1" s="179"/>
      <c r="G1" s="179"/>
    </row>
    <row r="2" spans="1:7" ht="12.75">
      <c r="A2" s="179"/>
      <c r="B2" s="179"/>
      <c r="C2" s="179"/>
      <c r="D2" s="179"/>
      <c r="E2" s="179"/>
      <c r="F2" s="179"/>
      <c r="G2" s="179"/>
    </row>
    <row r="3" spans="1:7" ht="40.5" customHeight="1">
      <c r="A3" s="182" t="s">
        <v>47</v>
      </c>
      <c r="B3" s="182"/>
      <c r="C3" s="182"/>
      <c r="D3" s="182"/>
      <c r="E3" s="182"/>
      <c r="F3" s="182"/>
      <c r="G3" s="182"/>
    </row>
    <row r="4" spans="1:7" ht="12.75">
      <c r="A4" s="179" t="s">
        <v>410</v>
      </c>
      <c r="B4" s="179"/>
      <c r="C4" s="179"/>
      <c r="D4" s="179"/>
      <c r="E4" s="179"/>
      <c r="F4" s="179"/>
      <c r="G4" s="179"/>
    </row>
    <row r="5" spans="1:7" ht="12.75">
      <c r="A5" s="179"/>
      <c r="B5" s="179"/>
      <c r="C5" s="179"/>
      <c r="D5" s="179"/>
      <c r="E5" s="179"/>
      <c r="F5" s="179"/>
      <c r="G5" s="179"/>
    </row>
    <row r="6" spans="1:7" ht="18.75">
      <c r="A6" s="5"/>
      <c r="B6" s="5"/>
      <c r="C6" s="5"/>
      <c r="D6" s="5"/>
      <c r="E6" s="5"/>
      <c r="F6" s="5"/>
      <c r="G6" s="5"/>
    </row>
    <row r="7" spans="1:7" ht="22.5">
      <c r="A7" s="8"/>
      <c r="B7" s="9" t="s">
        <v>5</v>
      </c>
      <c r="C7" s="5">
        <v>11380.8398531</v>
      </c>
      <c r="D7" s="5" t="s">
        <v>31</v>
      </c>
      <c r="E7" s="10"/>
      <c r="F7" s="10"/>
      <c r="G7" s="10"/>
    </row>
    <row r="8" spans="1:7" ht="18.75">
      <c r="A8" s="8"/>
      <c r="B8" s="5"/>
      <c r="C8" s="5"/>
      <c r="D8" s="5"/>
      <c r="E8" s="5"/>
      <c r="F8" s="5"/>
      <c r="G8" s="5"/>
    </row>
    <row r="9" spans="1:7" ht="12.75" customHeight="1">
      <c r="A9" s="184" t="s">
        <v>8</v>
      </c>
      <c r="B9" s="184" t="s">
        <v>6</v>
      </c>
      <c r="C9" s="185" t="s">
        <v>32</v>
      </c>
      <c r="D9" s="186"/>
      <c r="E9" s="189" t="s">
        <v>99</v>
      </c>
      <c r="F9" s="178" t="s">
        <v>74</v>
      </c>
      <c r="G9" s="178" t="s">
        <v>218</v>
      </c>
    </row>
    <row r="10" spans="1:7" ht="64.5" customHeight="1">
      <c r="A10" s="184"/>
      <c r="B10" s="184"/>
      <c r="C10" s="187"/>
      <c r="D10" s="188"/>
      <c r="E10" s="190"/>
      <c r="F10" s="178"/>
      <c r="G10" s="178"/>
    </row>
    <row r="11" spans="1:7" ht="86.25" customHeight="1">
      <c r="A11" s="184"/>
      <c r="B11" s="184"/>
      <c r="C11" s="87" t="s">
        <v>107</v>
      </c>
      <c r="D11" s="87" t="s">
        <v>106</v>
      </c>
      <c r="E11" s="191"/>
      <c r="F11" s="178"/>
      <c r="G11" s="178"/>
    </row>
    <row r="12" spans="1:7" ht="56.25">
      <c r="A12" s="13" t="s">
        <v>12</v>
      </c>
      <c r="B12" s="14" t="s">
        <v>20</v>
      </c>
      <c r="C12" s="95"/>
      <c r="D12" s="95"/>
      <c r="E12" s="13"/>
      <c r="F12" s="13"/>
      <c r="G12" s="13"/>
    </row>
    <row r="13" spans="1:10" ht="18.75">
      <c r="A13" s="15" t="s">
        <v>13</v>
      </c>
      <c r="B13" s="14" t="s">
        <v>10</v>
      </c>
      <c r="C13" s="34">
        <v>1.09</v>
      </c>
      <c r="D13" s="34">
        <v>1.14</v>
      </c>
      <c r="E13" s="32">
        <f aca="true" t="shared" si="0" ref="E13:E18">H13*I13*6</f>
        <v>152275.637234478</v>
      </c>
      <c r="F13" s="32">
        <f>E13</f>
        <v>152275.637234478</v>
      </c>
      <c r="G13" s="32">
        <f aca="true" t="shared" si="1" ref="G13:G18">H13*12*J13</f>
        <v>155689.889190408</v>
      </c>
      <c r="H13" s="17">
        <f>C7</f>
        <v>11380.8398531</v>
      </c>
      <c r="I13" s="18">
        <f aca="true" t="shared" si="2" ref="I13:I18">C13+D13</f>
        <v>2.23</v>
      </c>
      <c r="J13" s="34">
        <v>1.14</v>
      </c>
    </row>
    <row r="14" spans="1:10" ht="37.5">
      <c r="A14" s="15" t="s">
        <v>14</v>
      </c>
      <c r="B14" s="14" t="s">
        <v>15</v>
      </c>
      <c r="C14" s="34">
        <v>1.39</v>
      </c>
      <c r="D14" s="34">
        <v>1.46</v>
      </c>
      <c r="E14" s="32">
        <f t="shared" si="0"/>
        <v>194612.36148800998</v>
      </c>
      <c r="F14" s="32">
        <f>E14</f>
        <v>194612.36148800998</v>
      </c>
      <c r="G14" s="32">
        <f t="shared" si="1"/>
        <v>199392.314226312</v>
      </c>
      <c r="H14" s="17">
        <f>H13</f>
        <v>11380.8398531</v>
      </c>
      <c r="I14" s="18">
        <f t="shared" si="2"/>
        <v>2.8499999999999996</v>
      </c>
      <c r="J14" s="34">
        <v>1.46</v>
      </c>
    </row>
    <row r="15" spans="1:10" ht="18.75">
      <c r="A15" s="15" t="s">
        <v>16</v>
      </c>
      <c r="B15" s="14" t="s">
        <v>7</v>
      </c>
      <c r="C15" s="34"/>
      <c r="D15" s="34"/>
      <c r="E15" s="32"/>
      <c r="F15" s="32"/>
      <c r="G15" s="32"/>
      <c r="H15" s="17">
        <f>H14</f>
        <v>11380.8398531</v>
      </c>
      <c r="I15" s="18">
        <f t="shared" si="2"/>
        <v>0</v>
      </c>
      <c r="J15" s="34">
        <v>0</v>
      </c>
    </row>
    <row r="16" spans="1:10" ht="18.75">
      <c r="A16" s="15" t="s">
        <v>21</v>
      </c>
      <c r="B16" s="14" t="s">
        <v>11</v>
      </c>
      <c r="C16" s="34">
        <v>0.82</v>
      </c>
      <c r="D16" s="34">
        <v>0.58</v>
      </c>
      <c r="E16" s="32">
        <f t="shared" si="0"/>
        <v>95599.05476603999</v>
      </c>
      <c r="F16" s="32">
        <f>E16</f>
        <v>95599.05476603999</v>
      </c>
      <c r="G16" s="32">
        <f t="shared" si="1"/>
        <v>79210.645377576</v>
      </c>
      <c r="H16" s="17">
        <f>H15</f>
        <v>11380.8398531</v>
      </c>
      <c r="I16" s="18">
        <f t="shared" si="2"/>
        <v>1.4</v>
      </c>
      <c r="J16" s="34">
        <v>0.58</v>
      </c>
    </row>
    <row r="17" spans="1:10" ht="18.75">
      <c r="A17" s="15" t="s">
        <v>22</v>
      </c>
      <c r="B17" s="14" t="s">
        <v>19</v>
      </c>
      <c r="C17" s="34">
        <v>1.24</v>
      </c>
      <c r="D17" s="34">
        <v>1.24</v>
      </c>
      <c r="E17" s="32">
        <f t="shared" si="0"/>
        <v>169346.897014128</v>
      </c>
      <c r="F17" s="32">
        <f>E17</f>
        <v>169346.897014128</v>
      </c>
      <c r="G17" s="32">
        <f t="shared" si="1"/>
        <v>169346.89701412802</v>
      </c>
      <c r="H17" s="17">
        <f>H16</f>
        <v>11380.8398531</v>
      </c>
      <c r="I17" s="18">
        <f t="shared" si="2"/>
        <v>2.48</v>
      </c>
      <c r="J17" s="34">
        <v>1.24</v>
      </c>
    </row>
    <row r="18" spans="1:10" ht="75">
      <c r="A18" s="15" t="s">
        <v>23</v>
      </c>
      <c r="B18" s="14" t="s">
        <v>24</v>
      </c>
      <c r="C18" s="34">
        <v>4.47</v>
      </c>
      <c r="D18" s="34">
        <v>5.18</v>
      </c>
      <c r="E18" s="32">
        <f t="shared" si="0"/>
        <v>658950.62749449</v>
      </c>
      <c r="F18" s="115">
        <f>F20+F21+F22+F24+F25+F27+F28+F30+F31+F32+F34+F35+F37+F38+F39+F41+F42+F43+F45+F46+F47+F49+F50+F51+F53+F54+F56+F57+F58+F60+F61+F62</f>
        <v>1031912.88</v>
      </c>
      <c r="G18" s="32">
        <f t="shared" si="1"/>
        <v>707433.005268696</v>
      </c>
      <c r="H18" s="17">
        <f>H17</f>
        <v>11380.8398531</v>
      </c>
      <c r="I18" s="18">
        <f t="shared" si="2"/>
        <v>9.649999999999999</v>
      </c>
      <c r="J18" s="34">
        <v>5.18</v>
      </c>
    </row>
    <row r="19" spans="1:7" ht="18.75">
      <c r="A19" s="15"/>
      <c r="B19" s="34" t="s">
        <v>75</v>
      </c>
      <c r="C19" s="75"/>
      <c r="D19" s="75"/>
      <c r="E19" s="42"/>
      <c r="F19" s="99"/>
      <c r="G19" s="32"/>
    </row>
    <row r="20" spans="1:7" ht="40.5" customHeight="1">
      <c r="A20" s="15"/>
      <c r="B20" s="14" t="s">
        <v>411</v>
      </c>
      <c r="C20" s="75"/>
      <c r="D20" s="75"/>
      <c r="E20" s="42"/>
      <c r="F20" s="100">
        <v>4795.83</v>
      </c>
      <c r="G20" s="32"/>
    </row>
    <row r="21" spans="1:7" ht="18.75">
      <c r="A21" s="15"/>
      <c r="B21" s="14" t="s">
        <v>80</v>
      </c>
      <c r="C21" s="75"/>
      <c r="D21" s="75"/>
      <c r="E21" s="42"/>
      <c r="F21" s="99">
        <v>597.33</v>
      </c>
      <c r="G21" s="32"/>
    </row>
    <row r="22" spans="1:7" ht="131.25">
      <c r="A22" s="37"/>
      <c r="B22" s="40" t="s">
        <v>412</v>
      </c>
      <c r="C22" s="75"/>
      <c r="D22" s="75"/>
      <c r="E22" s="43"/>
      <c r="F22" s="100">
        <v>62713.77</v>
      </c>
      <c r="G22" s="44"/>
    </row>
    <row r="23" spans="1:7" ht="18.75">
      <c r="A23" s="15"/>
      <c r="B23" s="33" t="s">
        <v>88</v>
      </c>
      <c r="C23" s="75"/>
      <c r="D23" s="75"/>
      <c r="E23" s="42"/>
      <c r="F23" s="99"/>
      <c r="G23" s="32"/>
    </row>
    <row r="24" spans="1:7" ht="18.75">
      <c r="A24" s="15"/>
      <c r="B24" s="14" t="s">
        <v>413</v>
      </c>
      <c r="C24" s="75"/>
      <c r="D24" s="75"/>
      <c r="E24" s="42"/>
      <c r="F24" s="99">
        <v>7571.3</v>
      </c>
      <c r="G24" s="32"/>
    </row>
    <row r="25" spans="1:7" ht="76.5" customHeight="1">
      <c r="A25" s="37"/>
      <c r="B25" s="40" t="s">
        <v>934</v>
      </c>
      <c r="C25" s="75"/>
      <c r="D25" s="75"/>
      <c r="E25" s="43"/>
      <c r="F25" s="100">
        <v>39214.77</v>
      </c>
      <c r="G25" s="44"/>
    </row>
    <row r="26" spans="1:7" ht="18.75">
      <c r="A26" s="39"/>
      <c r="B26" s="80" t="s">
        <v>89</v>
      </c>
      <c r="C26" s="94"/>
      <c r="D26" s="94"/>
      <c r="E26" s="43"/>
      <c r="F26" s="100"/>
      <c r="G26" s="45"/>
    </row>
    <row r="27" spans="1:7" ht="37.5">
      <c r="A27" s="15"/>
      <c r="B27" s="14" t="s">
        <v>414</v>
      </c>
      <c r="C27" s="75"/>
      <c r="D27" s="75"/>
      <c r="E27" s="42"/>
      <c r="F27" s="99">
        <v>2851</v>
      </c>
      <c r="G27" s="32"/>
    </row>
    <row r="28" spans="1:7" ht="43.5" customHeight="1">
      <c r="A28" s="38"/>
      <c r="B28" s="41" t="s">
        <v>415</v>
      </c>
      <c r="C28" s="75"/>
      <c r="D28" s="75"/>
      <c r="E28" s="46"/>
      <c r="F28" s="118">
        <v>19749.98</v>
      </c>
      <c r="G28" s="47"/>
    </row>
    <row r="29" spans="1:7" ht="18.75">
      <c r="A29" s="15"/>
      <c r="B29" s="33" t="s">
        <v>90</v>
      </c>
      <c r="C29" s="75"/>
      <c r="D29" s="75"/>
      <c r="E29" s="42"/>
      <c r="F29" s="99"/>
      <c r="G29" s="32"/>
    </row>
    <row r="30" spans="1:7" ht="75">
      <c r="A30" s="15"/>
      <c r="B30" s="14" t="s">
        <v>416</v>
      </c>
      <c r="C30" s="75"/>
      <c r="D30" s="75"/>
      <c r="E30" s="42"/>
      <c r="F30" s="99">
        <v>29699.51</v>
      </c>
      <c r="G30" s="32"/>
    </row>
    <row r="31" spans="1:7" ht="37.5">
      <c r="A31" s="15"/>
      <c r="B31" s="14" t="s">
        <v>417</v>
      </c>
      <c r="C31" s="75"/>
      <c r="D31" s="75"/>
      <c r="E31" s="42"/>
      <c r="F31" s="99">
        <v>18735.4</v>
      </c>
      <c r="G31" s="32"/>
    </row>
    <row r="32" spans="1:7" ht="56.25">
      <c r="A32" s="15"/>
      <c r="B32" s="14" t="s">
        <v>418</v>
      </c>
      <c r="C32" s="75"/>
      <c r="D32" s="75"/>
      <c r="E32" s="42"/>
      <c r="F32" s="99">
        <v>4408.02</v>
      </c>
      <c r="G32" s="32"/>
    </row>
    <row r="33" spans="1:7" ht="18.75">
      <c r="A33" s="15"/>
      <c r="B33" s="33" t="s">
        <v>91</v>
      </c>
      <c r="C33" s="75"/>
      <c r="D33" s="75"/>
      <c r="E33" s="42"/>
      <c r="F33" s="99"/>
      <c r="G33" s="32"/>
    </row>
    <row r="34" spans="1:7" ht="56.25">
      <c r="A34" s="15"/>
      <c r="B34" s="14" t="s">
        <v>419</v>
      </c>
      <c r="C34" s="75"/>
      <c r="D34" s="75"/>
      <c r="E34" s="42"/>
      <c r="F34" s="99">
        <v>2666.55</v>
      </c>
      <c r="G34" s="32"/>
    </row>
    <row r="35" spans="1:7" ht="93.75">
      <c r="A35" s="15"/>
      <c r="B35" s="14" t="s">
        <v>420</v>
      </c>
      <c r="C35" s="75"/>
      <c r="D35" s="75"/>
      <c r="E35" s="42"/>
      <c r="F35" s="99">
        <v>92471.33</v>
      </c>
      <c r="G35" s="32"/>
    </row>
    <row r="36" spans="1:7" ht="18.75">
      <c r="A36" s="15"/>
      <c r="B36" s="33" t="s">
        <v>92</v>
      </c>
      <c r="C36" s="75"/>
      <c r="D36" s="75"/>
      <c r="E36" s="42"/>
      <c r="F36" s="99"/>
      <c r="G36" s="32"/>
    </row>
    <row r="37" spans="1:7" ht="37.5">
      <c r="A37" s="15"/>
      <c r="B37" s="14" t="s">
        <v>421</v>
      </c>
      <c r="C37" s="75"/>
      <c r="D37" s="75"/>
      <c r="E37" s="42"/>
      <c r="F37" s="99">
        <v>28081.08</v>
      </c>
      <c r="G37" s="32"/>
    </row>
    <row r="38" spans="1:7" ht="37.5">
      <c r="A38" s="15"/>
      <c r="B38" s="14" t="s">
        <v>422</v>
      </c>
      <c r="C38" s="75"/>
      <c r="D38" s="75"/>
      <c r="E38" s="42"/>
      <c r="F38" s="99">
        <v>58859.36</v>
      </c>
      <c r="G38" s="32"/>
    </row>
    <row r="39" spans="1:7" ht="18.75">
      <c r="A39" s="15"/>
      <c r="B39" s="14" t="s">
        <v>423</v>
      </c>
      <c r="C39" s="75"/>
      <c r="D39" s="75"/>
      <c r="E39" s="42"/>
      <c r="F39" s="99">
        <v>746.5</v>
      </c>
      <c r="G39" s="32"/>
    </row>
    <row r="40" spans="1:7" ht="18.75">
      <c r="A40" s="15"/>
      <c r="B40" s="33" t="s">
        <v>93</v>
      </c>
      <c r="C40" s="75"/>
      <c r="D40" s="75"/>
      <c r="E40" s="42"/>
      <c r="F40" s="99"/>
      <c r="G40" s="32"/>
    </row>
    <row r="41" spans="1:7" ht="56.25">
      <c r="A41" s="15"/>
      <c r="B41" s="14" t="s">
        <v>424</v>
      </c>
      <c r="C41" s="75"/>
      <c r="D41" s="75"/>
      <c r="E41" s="42"/>
      <c r="F41" s="99">
        <v>42487.48</v>
      </c>
      <c r="G41" s="32"/>
    </row>
    <row r="42" spans="1:7" ht="18.75">
      <c r="A42" s="15"/>
      <c r="B42" s="14" t="s">
        <v>425</v>
      </c>
      <c r="C42" s="75"/>
      <c r="D42" s="75"/>
      <c r="E42" s="42"/>
      <c r="F42" s="99">
        <v>805.94</v>
      </c>
      <c r="G42" s="32"/>
    </row>
    <row r="43" spans="1:7" ht="18.75">
      <c r="A43" s="15"/>
      <c r="B43" s="14" t="s">
        <v>426</v>
      </c>
      <c r="C43" s="75"/>
      <c r="D43" s="75"/>
      <c r="E43" s="42"/>
      <c r="F43" s="99">
        <v>73169.3</v>
      </c>
      <c r="G43" s="32"/>
    </row>
    <row r="44" spans="1:7" ht="18.75">
      <c r="A44" s="15"/>
      <c r="B44" s="33" t="s">
        <v>94</v>
      </c>
      <c r="C44" s="75"/>
      <c r="D44" s="75"/>
      <c r="E44" s="42"/>
      <c r="F44" s="99"/>
      <c r="G44" s="32"/>
    </row>
    <row r="45" spans="1:7" ht="75" customHeight="1">
      <c r="A45" s="15"/>
      <c r="B45" s="14" t="s">
        <v>427</v>
      </c>
      <c r="C45" s="75"/>
      <c r="D45" s="75"/>
      <c r="E45" s="42"/>
      <c r="F45" s="99">
        <v>30360.9</v>
      </c>
      <c r="G45" s="32"/>
    </row>
    <row r="46" spans="1:7" ht="18.75">
      <c r="A46" s="15"/>
      <c r="B46" s="14" t="s">
        <v>428</v>
      </c>
      <c r="C46" s="75"/>
      <c r="D46" s="75"/>
      <c r="E46" s="42"/>
      <c r="F46" s="99">
        <v>963.73</v>
      </c>
      <c r="G46" s="32"/>
    </row>
    <row r="47" spans="1:7" ht="18.75">
      <c r="A47" s="15"/>
      <c r="B47" s="14" t="s">
        <v>429</v>
      </c>
      <c r="C47" s="75"/>
      <c r="D47" s="75"/>
      <c r="E47" s="42"/>
      <c r="F47" s="99">
        <v>124513.62</v>
      </c>
      <c r="G47" s="32"/>
    </row>
    <row r="48" spans="1:7" ht="18.75">
      <c r="A48" s="15"/>
      <c r="B48" s="33" t="s">
        <v>98</v>
      </c>
      <c r="C48" s="75"/>
      <c r="D48" s="75"/>
      <c r="E48" s="42"/>
      <c r="F48" s="99"/>
      <c r="G48" s="32"/>
    </row>
    <row r="49" spans="1:7" ht="56.25">
      <c r="A49" s="15"/>
      <c r="B49" s="14" t="s">
        <v>430</v>
      </c>
      <c r="C49" s="75"/>
      <c r="D49" s="75"/>
      <c r="E49" s="42"/>
      <c r="F49" s="99">
        <v>29106.33</v>
      </c>
      <c r="G49" s="32"/>
    </row>
    <row r="50" spans="1:7" ht="56.25">
      <c r="A50" s="15"/>
      <c r="B50" s="14" t="s">
        <v>431</v>
      </c>
      <c r="C50" s="75"/>
      <c r="D50" s="75"/>
      <c r="E50" s="42"/>
      <c r="F50" s="99">
        <v>3967.68</v>
      </c>
      <c r="G50" s="32"/>
    </row>
    <row r="51" spans="1:7" ht="18.75">
      <c r="A51" s="15"/>
      <c r="B51" s="14" t="s">
        <v>432</v>
      </c>
      <c r="C51" s="75"/>
      <c r="D51" s="75"/>
      <c r="E51" s="42"/>
      <c r="F51" s="99">
        <v>9453.77</v>
      </c>
      <c r="G51" s="32"/>
    </row>
    <row r="52" spans="1:7" ht="18.75">
      <c r="A52" s="15"/>
      <c r="B52" s="33" t="s">
        <v>95</v>
      </c>
      <c r="C52" s="75"/>
      <c r="D52" s="75"/>
      <c r="E52" s="42"/>
      <c r="F52" s="99"/>
      <c r="G52" s="32"/>
    </row>
    <row r="53" spans="1:7" ht="75">
      <c r="A53" s="15"/>
      <c r="B53" s="14" t="s">
        <v>433</v>
      </c>
      <c r="C53" s="75"/>
      <c r="D53" s="75"/>
      <c r="E53" s="42"/>
      <c r="F53" s="99">
        <v>48781.43</v>
      </c>
      <c r="G53" s="32"/>
    </row>
    <row r="54" spans="1:7" ht="37.5">
      <c r="A54" s="15"/>
      <c r="B54" s="14" t="s">
        <v>434</v>
      </c>
      <c r="C54" s="75"/>
      <c r="D54" s="75"/>
      <c r="E54" s="42"/>
      <c r="F54" s="99">
        <v>1206.38</v>
      </c>
      <c r="G54" s="32"/>
    </row>
    <row r="55" spans="1:7" ht="18.75">
      <c r="A55" s="15"/>
      <c r="B55" s="33" t="s">
        <v>2</v>
      </c>
      <c r="C55" s="75"/>
      <c r="D55" s="75"/>
      <c r="E55" s="42"/>
      <c r="F55" s="99"/>
      <c r="G55" s="32"/>
    </row>
    <row r="56" spans="1:7" ht="56.25">
      <c r="A56" s="15"/>
      <c r="B56" s="14" t="s">
        <v>435</v>
      </c>
      <c r="C56" s="75"/>
      <c r="D56" s="75"/>
      <c r="E56" s="42"/>
      <c r="F56" s="99">
        <v>39050.41</v>
      </c>
      <c r="G56" s="32"/>
    </row>
    <row r="57" spans="1:7" ht="56.25">
      <c r="A57" s="15"/>
      <c r="B57" s="14" t="s">
        <v>436</v>
      </c>
      <c r="C57" s="75"/>
      <c r="D57" s="75"/>
      <c r="E57" s="42"/>
      <c r="F57" s="99">
        <v>2919.94</v>
      </c>
      <c r="G57" s="32"/>
    </row>
    <row r="58" spans="1:7" ht="18.75">
      <c r="A58" s="15"/>
      <c r="B58" s="14" t="s">
        <v>437</v>
      </c>
      <c r="C58" s="75"/>
      <c r="D58" s="75"/>
      <c r="E58" s="42"/>
      <c r="F58" s="99">
        <v>132405.84</v>
      </c>
      <c r="G58" s="32"/>
    </row>
    <row r="59" spans="1:7" ht="18.75">
      <c r="A59" s="15"/>
      <c r="B59" s="33" t="s">
        <v>97</v>
      </c>
      <c r="C59" s="75"/>
      <c r="D59" s="75"/>
      <c r="E59" s="42"/>
      <c r="F59" s="99"/>
      <c r="G59" s="32"/>
    </row>
    <row r="60" spans="1:7" ht="93.75">
      <c r="A60" s="15"/>
      <c r="B60" s="14" t="s">
        <v>438</v>
      </c>
      <c r="C60" s="75"/>
      <c r="D60" s="75"/>
      <c r="E60" s="42"/>
      <c r="F60" s="99">
        <v>22104.66</v>
      </c>
      <c r="G60" s="32"/>
    </row>
    <row r="61" spans="1:7" ht="37.5">
      <c r="A61" s="15"/>
      <c r="B61" s="14" t="s">
        <v>439</v>
      </c>
      <c r="C61" s="75"/>
      <c r="D61" s="75"/>
      <c r="E61" s="42"/>
      <c r="F61" s="99">
        <v>4977.77</v>
      </c>
      <c r="G61" s="32"/>
    </row>
    <row r="62" spans="1:7" ht="18.75">
      <c r="A62" s="15"/>
      <c r="B62" s="14" t="s">
        <v>440</v>
      </c>
      <c r="C62" s="75"/>
      <c r="D62" s="75"/>
      <c r="E62" s="42"/>
      <c r="F62" s="99">
        <v>92475.97</v>
      </c>
      <c r="G62" s="32"/>
    </row>
    <row r="63" spans="1:7" ht="75" hidden="1">
      <c r="A63" s="15"/>
      <c r="B63" s="14" t="s">
        <v>943</v>
      </c>
      <c r="C63" s="75"/>
      <c r="D63" s="75"/>
      <c r="E63" s="42"/>
      <c r="F63" s="99"/>
      <c r="G63" s="32"/>
    </row>
    <row r="64" spans="1:7" ht="18.75">
      <c r="A64" s="12"/>
      <c r="B64" s="14" t="s">
        <v>9</v>
      </c>
      <c r="C64" s="93">
        <f>SUM(C13:C28)</f>
        <v>9.01</v>
      </c>
      <c r="D64" s="93">
        <f>SUM(D13:D28)</f>
        <v>9.6</v>
      </c>
      <c r="E64" s="42">
        <f>SUM(E13:E28)</f>
        <v>1270784.577997146</v>
      </c>
      <c r="F64" s="42">
        <f>F13+F14+F15+F16+F17+F18</f>
        <v>1643746.8305026558</v>
      </c>
      <c r="G64" s="32">
        <f>SUM(G12:G62)</f>
        <v>1311072.7510771202</v>
      </c>
    </row>
    <row r="65" spans="1:10" ht="18.75">
      <c r="A65" s="13">
        <v>5</v>
      </c>
      <c r="B65" s="25" t="s">
        <v>26</v>
      </c>
      <c r="C65" s="108">
        <v>1.58</v>
      </c>
      <c r="D65" s="108">
        <v>1.85</v>
      </c>
      <c r="E65" s="98">
        <f>H65*I65*6</f>
        <v>234217.68417679804</v>
      </c>
      <c r="F65" s="101">
        <f>E65</f>
        <v>234217.68417679804</v>
      </c>
      <c r="G65" s="101">
        <f>J65*12*H65</f>
        <v>258117.447868308</v>
      </c>
      <c r="H65">
        <f>C7</f>
        <v>11380.8398531</v>
      </c>
      <c r="I65" s="22">
        <f>C65+D65</f>
        <v>3.43</v>
      </c>
      <c r="J65" s="34">
        <v>1.89</v>
      </c>
    </row>
    <row r="66" spans="1:7" ht="18.75">
      <c r="A66" s="10"/>
      <c r="B66" s="26"/>
      <c r="C66" s="10"/>
      <c r="D66" s="10"/>
      <c r="E66" s="10"/>
      <c r="F66" s="10"/>
      <c r="G66" s="10"/>
    </row>
    <row r="67" spans="1:7" ht="18.75">
      <c r="A67" s="179" t="s">
        <v>941</v>
      </c>
      <c r="B67" s="179"/>
      <c r="C67" s="183">
        <v>213805.43</v>
      </c>
      <c r="D67" s="183"/>
      <c r="E67" s="6" t="s">
        <v>18</v>
      </c>
      <c r="F67" s="10"/>
      <c r="G67" s="10"/>
    </row>
    <row r="68" spans="1:7" ht="18.75">
      <c r="A68" s="179" t="s">
        <v>942</v>
      </c>
      <c r="B68" s="179"/>
      <c r="C68" s="183">
        <v>206605.49</v>
      </c>
      <c r="D68" s="183"/>
      <c r="E68" s="6" t="s">
        <v>18</v>
      </c>
      <c r="F68" s="10"/>
      <c r="G68" s="10"/>
    </row>
    <row r="69" spans="1:7" ht="18.75">
      <c r="A69" s="180" t="s">
        <v>17</v>
      </c>
      <c r="B69" s="180"/>
      <c r="C69" s="180"/>
      <c r="D69" s="180"/>
      <c r="E69" s="180"/>
      <c r="F69" s="180"/>
      <c r="G69" s="180"/>
    </row>
    <row r="70" spans="1:7" ht="18.75" customHeight="1" hidden="1">
      <c r="A70" s="181" t="s">
        <v>35</v>
      </c>
      <c r="B70" s="181"/>
      <c r="C70" s="5" t="e">
        <f>C67-#REF!</f>
        <v>#REF!</v>
      </c>
      <c r="D70" s="10" t="s">
        <v>18</v>
      </c>
      <c r="E70" s="10"/>
      <c r="F70" s="10"/>
      <c r="G70" s="10"/>
    </row>
    <row r="71" spans="1:4" ht="18.75" customHeight="1" hidden="1">
      <c r="A71" s="181" t="s">
        <v>36</v>
      </c>
      <c r="B71" s="181"/>
      <c r="C71" s="85">
        <f>E64-F64</f>
        <v>-372962.2525055099</v>
      </c>
      <c r="D71" s="84" t="str">
        <f>D70</f>
        <v>рублей</v>
      </c>
    </row>
  </sheetData>
  <sheetProtection/>
  <mergeCells count="16">
    <mergeCell ref="F9:F11"/>
    <mergeCell ref="G9:G11"/>
    <mergeCell ref="A1:G2"/>
    <mergeCell ref="A3:G3"/>
    <mergeCell ref="A4:G5"/>
    <mergeCell ref="A9:A11"/>
    <mergeCell ref="B9:B11"/>
    <mergeCell ref="C9:D10"/>
    <mergeCell ref="E9:E11"/>
    <mergeCell ref="C67:D67"/>
    <mergeCell ref="C68:D68"/>
    <mergeCell ref="A67:B67"/>
    <mergeCell ref="A68:B68"/>
    <mergeCell ref="A70:B70"/>
    <mergeCell ref="A71:B71"/>
    <mergeCell ref="A69:G6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4" r:id="rId1"/>
  <rowBreaks count="1" manualBreakCount="1">
    <brk id="3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82"/>
  <sheetViews>
    <sheetView view="pageBreakPreview" zoomScale="75" zoomScaleSheetLayoutView="75" zoomScalePageLayoutView="0" workbookViewId="0" topLeftCell="A55">
      <selection activeCell="F67" sqref="F67"/>
    </sheetView>
  </sheetViews>
  <sheetFormatPr defaultColWidth="9.00390625" defaultRowHeight="12.75"/>
  <cols>
    <col min="2" max="2" width="47.625" style="0" customWidth="1"/>
    <col min="3" max="3" width="12.25390625" style="0" customWidth="1"/>
    <col min="4" max="4" width="13.75390625" style="0" customWidth="1"/>
    <col min="5" max="6" width="15.875" style="0" customWidth="1"/>
    <col min="7" max="7" width="15.75390625" style="0" customWidth="1"/>
    <col min="8" max="8" width="12.125" style="0" customWidth="1"/>
  </cols>
  <sheetData>
    <row r="1" spans="1:7" ht="12.75">
      <c r="A1" s="179" t="s">
        <v>25</v>
      </c>
      <c r="B1" s="179"/>
      <c r="C1" s="179"/>
      <c r="D1" s="179"/>
      <c r="E1" s="179"/>
      <c r="F1" s="179"/>
      <c r="G1" s="179"/>
    </row>
    <row r="2" spans="1:7" ht="12.75">
      <c r="A2" s="179"/>
      <c r="B2" s="179"/>
      <c r="C2" s="179"/>
      <c r="D2" s="179"/>
      <c r="E2" s="179"/>
      <c r="F2" s="179"/>
      <c r="G2" s="179"/>
    </row>
    <row r="3" spans="1:7" ht="48" customHeight="1">
      <c r="A3" s="182" t="s">
        <v>48</v>
      </c>
      <c r="B3" s="182"/>
      <c r="C3" s="182"/>
      <c r="D3" s="182"/>
      <c r="E3" s="182"/>
      <c r="F3" s="182"/>
      <c r="G3" s="182"/>
    </row>
    <row r="4" spans="1:7" ht="12.75">
      <c r="A4" s="179" t="s">
        <v>110</v>
      </c>
      <c r="B4" s="179"/>
      <c r="C4" s="179"/>
      <c r="D4" s="179"/>
      <c r="E4" s="179"/>
      <c r="F4" s="179"/>
      <c r="G4" s="179"/>
    </row>
    <row r="5" spans="1:7" ht="12.75">
      <c r="A5" s="179"/>
      <c r="B5" s="179"/>
      <c r="C5" s="179"/>
      <c r="D5" s="179"/>
      <c r="E5" s="179"/>
      <c r="F5" s="179"/>
      <c r="G5" s="179"/>
    </row>
    <row r="6" spans="1:7" ht="18.75">
      <c r="A6" s="5"/>
      <c r="B6" s="5"/>
      <c r="C6" s="5"/>
      <c r="D6" s="5"/>
      <c r="E6" s="5"/>
      <c r="F6" s="5"/>
      <c r="G6" s="5"/>
    </row>
    <row r="7" spans="1:7" ht="22.5">
      <c r="A7" s="8"/>
      <c r="B7" s="9" t="s">
        <v>5</v>
      </c>
      <c r="C7" s="29">
        <v>11417</v>
      </c>
      <c r="D7" s="27" t="s">
        <v>31</v>
      </c>
      <c r="E7" s="10"/>
      <c r="F7" s="10"/>
      <c r="G7" s="10"/>
    </row>
    <row r="8" spans="1:7" ht="18.75">
      <c r="A8" s="8"/>
      <c r="B8" s="5"/>
      <c r="C8" s="5"/>
      <c r="D8" s="5"/>
      <c r="E8" s="5"/>
      <c r="F8" s="5"/>
      <c r="G8" s="5"/>
    </row>
    <row r="9" spans="1:7" ht="18.75" customHeight="1">
      <c r="A9" s="201" t="s">
        <v>8</v>
      </c>
      <c r="B9" s="201" t="s">
        <v>6</v>
      </c>
      <c r="C9" s="185" t="s">
        <v>32</v>
      </c>
      <c r="D9" s="204"/>
      <c r="E9" s="189" t="s">
        <v>99</v>
      </c>
      <c r="F9" s="189" t="s">
        <v>74</v>
      </c>
      <c r="G9" s="189" t="s">
        <v>218</v>
      </c>
    </row>
    <row r="10" spans="1:7" ht="36.75" customHeight="1">
      <c r="A10" s="202"/>
      <c r="B10" s="202"/>
      <c r="C10" s="187"/>
      <c r="D10" s="205"/>
      <c r="E10" s="190"/>
      <c r="F10" s="190"/>
      <c r="G10" s="190"/>
    </row>
    <row r="11" spans="1:7" ht="112.5" customHeight="1">
      <c r="A11" s="203"/>
      <c r="B11" s="203"/>
      <c r="C11" s="87" t="s">
        <v>107</v>
      </c>
      <c r="D11" s="87" t="s">
        <v>106</v>
      </c>
      <c r="E11" s="191"/>
      <c r="F11" s="191"/>
      <c r="G11" s="191"/>
    </row>
    <row r="12" spans="1:7" ht="56.25">
      <c r="A12" s="33" t="s">
        <v>12</v>
      </c>
      <c r="B12" s="14" t="s">
        <v>20</v>
      </c>
      <c r="C12" s="93"/>
      <c r="D12" s="93"/>
      <c r="E12" s="33"/>
      <c r="F12" s="33"/>
      <c r="G12" s="33"/>
    </row>
    <row r="13" spans="1:10" ht="18.75">
      <c r="A13" s="48" t="s">
        <v>13</v>
      </c>
      <c r="B13" s="14" t="s">
        <v>10</v>
      </c>
      <c r="C13" s="34">
        <v>1.09</v>
      </c>
      <c r="D13" s="34">
        <v>1.14</v>
      </c>
      <c r="E13" s="32">
        <f aca="true" t="shared" si="0" ref="E13:E18">H13*I13*6</f>
        <v>152759.46</v>
      </c>
      <c r="F13" s="34">
        <f>E13</f>
        <v>152759.46</v>
      </c>
      <c r="G13" s="32">
        <f aca="true" t="shared" si="1" ref="G13:G18">H13*12*J13</f>
        <v>156184.56</v>
      </c>
      <c r="H13" s="17">
        <f>C7</f>
        <v>11417</v>
      </c>
      <c r="I13" s="18">
        <f aca="true" t="shared" si="2" ref="I13:I18">C13+D13</f>
        <v>2.23</v>
      </c>
      <c r="J13" s="34">
        <v>1.14</v>
      </c>
    </row>
    <row r="14" spans="1:10" ht="37.5">
      <c r="A14" s="48" t="s">
        <v>14</v>
      </c>
      <c r="B14" s="14" t="s">
        <v>15</v>
      </c>
      <c r="C14" s="34">
        <v>1.39</v>
      </c>
      <c r="D14" s="34">
        <v>1.46</v>
      </c>
      <c r="E14" s="32">
        <f t="shared" si="0"/>
        <v>195230.69999999998</v>
      </c>
      <c r="F14" s="34">
        <f>E14</f>
        <v>195230.69999999998</v>
      </c>
      <c r="G14" s="32">
        <f t="shared" si="1"/>
        <v>200025.84</v>
      </c>
      <c r="H14" s="17">
        <f>H13</f>
        <v>11417</v>
      </c>
      <c r="I14" s="18">
        <f t="shared" si="2"/>
        <v>2.8499999999999996</v>
      </c>
      <c r="J14" s="34">
        <v>1.46</v>
      </c>
    </row>
    <row r="15" spans="1:10" ht="18.75">
      <c r="A15" s="48" t="s">
        <v>16</v>
      </c>
      <c r="B15" s="14" t="s">
        <v>7</v>
      </c>
      <c r="C15" s="34"/>
      <c r="D15" s="34"/>
      <c r="E15" s="32"/>
      <c r="F15" s="34"/>
      <c r="G15" s="32"/>
      <c r="H15" s="17">
        <f>H14</f>
        <v>11417</v>
      </c>
      <c r="I15" s="18">
        <f t="shared" si="2"/>
        <v>0</v>
      </c>
      <c r="J15" s="34">
        <v>0</v>
      </c>
    </row>
    <row r="16" spans="1:10" ht="18.75">
      <c r="A16" s="48" t="s">
        <v>21</v>
      </c>
      <c r="B16" s="14" t="s">
        <v>11</v>
      </c>
      <c r="C16" s="34">
        <v>0.82</v>
      </c>
      <c r="D16" s="34">
        <v>0.58</v>
      </c>
      <c r="E16" s="32">
        <f t="shared" si="0"/>
        <v>95902.79999999999</v>
      </c>
      <c r="F16" s="34">
        <f>E16</f>
        <v>95902.79999999999</v>
      </c>
      <c r="G16" s="32">
        <f t="shared" si="1"/>
        <v>79462.31999999999</v>
      </c>
      <c r="H16" s="17">
        <f>H15</f>
        <v>11417</v>
      </c>
      <c r="I16" s="18">
        <f t="shared" si="2"/>
        <v>1.4</v>
      </c>
      <c r="J16" s="34">
        <v>0.58</v>
      </c>
    </row>
    <row r="17" spans="1:10" ht="18.75">
      <c r="A17" s="48" t="s">
        <v>22</v>
      </c>
      <c r="B17" s="14" t="s">
        <v>19</v>
      </c>
      <c r="C17" s="34">
        <v>1.24</v>
      </c>
      <c r="D17" s="34">
        <v>1.24</v>
      </c>
      <c r="E17" s="32">
        <f t="shared" si="0"/>
        <v>169884.96</v>
      </c>
      <c r="F17" s="34">
        <f>E17</f>
        <v>169884.96</v>
      </c>
      <c r="G17" s="32">
        <f t="shared" si="1"/>
        <v>169884.96</v>
      </c>
      <c r="H17" s="17">
        <f>H16</f>
        <v>11417</v>
      </c>
      <c r="I17" s="18">
        <f t="shared" si="2"/>
        <v>2.48</v>
      </c>
      <c r="J17" s="34">
        <v>1.24</v>
      </c>
    </row>
    <row r="18" spans="1:10" ht="75">
      <c r="A18" s="48" t="s">
        <v>23</v>
      </c>
      <c r="B18" s="14" t="s">
        <v>24</v>
      </c>
      <c r="C18" s="34">
        <v>4.47</v>
      </c>
      <c r="D18" s="34">
        <v>5.18</v>
      </c>
      <c r="E18" s="32">
        <f t="shared" si="0"/>
        <v>661044.2999999999</v>
      </c>
      <c r="F18" s="98">
        <f>F20+F21+F22+F24+F25+F27+F28+F29+F31+F32+F33+F35+F36+F38+F39+F40+F42+F43+F45+F46+F47+F49+F50+F51+F53+F54+F55+F57+F58+F59+F61+F62+F63+F64</f>
        <v>1043279.9000000001</v>
      </c>
      <c r="G18" s="32">
        <f t="shared" si="1"/>
        <v>709680.72</v>
      </c>
      <c r="H18" s="17">
        <f>H17</f>
        <v>11417</v>
      </c>
      <c r="I18" s="18">
        <f t="shared" si="2"/>
        <v>9.649999999999999</v>
      </c>
      <c r="J18" s="34">
        <v>5.18</v>
      </c>
    </row>
    <row r="19" spans="1:7" ht="18.75">
      <c r="A19" s="48"/>
      <c r="B19" s="33" t="s">
        <v>75</v>
      </c>
      <c r="C19" s="75"/>
      <c r="D19" s="75"/>
      <c r="E19" s="34"/>
      <c r="F19" s="98"/>
      <c r="G19" s="34"/>
    </row>
    <row r="20" spans="1:7" ht="38.25" customHeight="1">
      <c r="A20" s="48"/>
      <c r="B20" s="31" t="s">
        <v>441</v>
      </c>
      <c r="C20" s="75"/>
      <c r="D20" s="75"/>
      <c r="E20" s="34"/>
      <c r="F20" s="98">
        <v>2900.99</v>
      </c>
      <c r="G20" s="34"/>
    </row>
    <row r="21" spans="1:7" ht="18.75">
      <c r="A21" s="48"/>
      <c r="B21" s="14" t="s">
        <v>442</v>
      </c>
      <c r="C21" s="75"/>
      <c r="D21" s="75"/>
      <c r="E21" s="34"/>
      <c r="F21" s="117">
        <v>597.33</v>
      </c>
      <c r="G21" s="34"/>
    </row>
    <row r="22" spans="1:7" ht="95.25" customHeight="1">
      <c r="A22" s="48"/>
      <c r="B22" s="14" t="s">
        <v>443</v>
      </c>
      <c r="C22" s="75"/>
      <c r="D22" s="75"/>
      <c r="E22" s="34"/>
      <c r="F22" s="106">
        <v>46422.62</v>
      </c>
      <c r="G22" s="34"/>
    </row>
    <row r="23" spans="1:7" ht="18.75">
      <c r="A23" s="48"/>
      <c r="B23" s="33" t="s">
        <v>88</v>
      </c>
      <c r="C23" s="75"/>
      <c r="D23" s="75"/>
      <c r="E23" s="34"/>
      <c r="F23" s="106"/>
      <c r="G23" s="34"/>
    </row>
    <row r="24" spans="1:7" ht="75" customHeight="1">
      <c r="A24" s="48"/>
      <c r="B24" s="14" t="s">
        <v>444</v>
      </c>
      <c r="C24" s="75"/>
      <c r="D24" s="75"/>
      <c r="E24" s="34"/>
      <c r="F24" s="106">
        <v>42705.58</v>
      </c>
      <c r="G24" s="34"/>
    </row>
    <row r="25" spans="1:7" ht="36" customHeight="1">
      <c r="A25" s="48"/>
      <c r="B25" s="14" t="s">
        <v>445</v>
      </c>
      <c r="C25" s="75"/>
      <c r="D25" s="75"/>
      <c r="E25" s="34"/>
      <c r="F25" s="106">
        <v>1470.72</v>
      </c>
      <c r="G25" s="34"/>
    </row>
    <row r="26" spans="1:7" ht="18.75">
      <c r="A26" s="48"/>
      <c r="B26" s="33" t="s">
        <v>89</v>
      </c>
      <c r="C26" s="75"/>
      <c r="D26" s="75"/>
      <c r="E26" s="34"/>
      <c r="F26" s="106"/>
      <c r="G26" s="34"/>
    </row>
    <row r="27" spans="1:7" ht="18.75">
      <c r="A27" s="48"/>
      <c r="B27" s="14" t="s">
        <v>101</v>
      </c>
      <c r="C27" s="75"/>
      <c r="D27" s="75"/>
      <c r="E27" s="34"/>
      <c r="F27" s="106">
        <v>949.22</v>
      </c>
      <c r="G27" s="34"/>
    </row>
    <row r="28" spans="1:7" ht="93.75">
      <c r="A28" s="48"/>
      <c r="B28" s="14" t="s">
        <v>447</v>
      </c>
      <c r="C28" s="75"/>
      <c r="D28" s="75"/>
      <c r="E28" s="34"/>
      <c r="F28" s="106">
        <v>30125.41</v>
      </c>
      <c r="G28" s="34"/>
    </row>
    <row r="29" spans="1:7" ht="18.75">
      <c r="A29" s="48"/>
      <c r="B29" s="14" t="s">
        <v>446</v>
      </c>
      <c r="C29" s="75"/>
      <c r="D29" s="75"/>
      <c r="E29" s="34"/>
      <c r="F29" s="106">
        <v>30660.23</v>
      </c>
      <c r="G29" s="34"/>
    </row>
    <row r="30" spans="1:7" ht="18.75">
      <c r="A30" s="48"/>
      <c r="B30" s="33" t="s">
        <v>90</v>
      </c>
      <c r="C30" s="75"/>
      <c r="D30" s="75"/>
      <c r="E30" s="34"/>
      <c r="F30" s="106"/>
      <c r="G30" s="34"/>
    </row>
    <row r="31" spans="1:7" ht="37.5">
      <c r="A31" s="33"/>
      <c r="B31" s="14" t="s">
        <v>448</v>
      </c>
      <c r="C31" s="75"/>
      <c r="D31" s="75"/>
      <c r="E31" s="34"/>
      <c r="F31" s="106">
        <v>5643.63</v>
      </c>
      <c r="G31" s="35"/>
    </row>
    <row r="32" spans="1:7" ht="56.25">
      <c r="A32" s="48"/>
      <c r="B32" s="14" t="s">
        <v>925</v>
      </c>
      <c r="C32" s="75"/>
      <c r="D32" s="75"/>
      <c r="E32" s="34"/>
      <c r="F32" s="106">
        <v>37184.87</v>
      </c>
      <c r="G32" s="35"/>
    </row>
    <row r="33" spans="1:7" ht="17.25" customHeight="1">
      <c r="A33" s="48"/>
      <c r="B33" s="14" t="s">
        <v>449</v>
      </c>
      <c r="C33" s="75"/>
      <c r="D33" s="75"/>
      <c r="E33" s="34"/>
      <c r="F33" s="106">
        <v>1598.53</v>
      </c>
      <c r="G33" s="35"/>
    </row>
    <row r="34" spans="1:7" ht="18.75">
      <c r="A34" s="48"/>
      <c r="B34" s="33" t="s">
        <v>91</v>
      </c>
      <c r="C34" s="75"/>
      <c r="D34" s="75"/>
      <c r="E34" s="34"/>
      <c r="F34" s="106"/>
      <c r="G34" s="35"/>
    </row>
    <row r="35" spans="1:7" ht="56.25">
      <c r="A35" s="48"/>
      <c r="B35" s="14" t="s">
        <v>451</v>
      </c>
      <c r="C35" s="75"/>
      <c r="D35" s="75"/>
      <c r="E35" s="34"/>
      <c r="F35" s="106">
        <v>6838.61</v>
      </c>
      <c r="G35" s="35"/>
    </row>
    <row r="36" spans="1:7" ht="76.5" customHeight="1">
      <c r="A36" s="48"/>
      <c r="B36" s="14" t="s">
        <v>450</v>
      </c>
      <c r="C36" s="75"/>
      <c r="D36" s="75"/>
      <c r="E36" s="34"/>
      <c r="F36" s="106">
        <v>33942.98</v>
      </c>
      <c r="G36" s="35"/>
    </row>
    <row r="37" spans="1:7" ht="18.75">
      <c r="A37" s="48"/>
      <c r="B37" s="33" t="s">
        <v>92</v>
      </c>
      <c r="C37" s="75"/>
      <c r="D37" s="75"/>
      <c r="E37" s="34"/>
      <c r="F37" s="106"/>
      <c r="G37" s="35"/>
    </row>
    <row r="38" spans="1:7" ht="56.25" customHeight="1">
      <c r="A38" s="48"/>
      <c r="B38" s="14" t="s">
        <v>452</v>
      </c>
      <c r="C38" s="75"/>
      <c r="D38" s="75"/>
      <c r="E38" s="34"/>
      <c r="F38" s="106">
        <v>35706.92</v>
      </c>
      <c r="G38" s="35"/>
    </row>
    <row r="39" spans="1:7" ht="18.75">
      <c r="A39" s="48"/>
      <c r="B39" s="14" t="s">
        <v>453</v>
      </c>
      <c r="C39" s="75"/>
      <c r="D39" s="75"/>
      <c r="E39" s="34"/>
      <c r="F39" s="106">
        <v>3085.89</v>
      </c>
      <c r="G39" s="35"/>
    </row>
    <row r="40" spans="1:7" ht="56.25">
      <c r="A40" s="48"/>
      <c r="B40" s="14" t="s">
        <v>454</v>
      </c>
      <c r="C40" s="75"/>
      <c r="D40" s="75"/>
      <c r="E40" s="34"/>
      <c r="F40" s="106">
        <v>4095.36</v>
      </c>
      <c r="G40" s="35"/>
    </row>
    <row r="41" spans="1:7" ht="18.75">
      <c r="A41" s="48"/>
      <c r="B41" s="33" t="s">
        <v>93</v>
      </c>
      <c r="C41" s="75"/>
      <c r="D41" s="75"/>
      <c r="E41" s="34"/>
      <c r="F41" s="106"/>
      <c r="G41" s="35"/>
    </row>
    <row r="42" spans="1:7" ht="61.5" customHeight="1">
      <c r="A42" s="48"/>
      <c r="B42" s="14" t="s">
        <v>455</v>
      </c>
      <c r="C42" s="75"/>
      <c r="D42" s="75"/>
      <c r="E42" s="34"/>
      <c r="F42" s="106">
        <v>31016.81</v>
      </c>
      <c r="G42" s="35"/>
    </row>
    <row r="43" spans="1:7" ht="56.25">
      <c r="A43" s="48"/>
      <c r="B43" s="14" t="s">
        <v>456</v>
      </c>
      <c r="C43" s="75"/>
      <c r="D43" s="75"/>
      <c r="E43" s="34"/>
      <c r="F43" s="106">
        <v>2975.96</v>
      </c>
      <c r="G43" s="35"/>
    </row>
    <row r="44" spans="1:7" ht="18.75">
      <c r="A44" s="48"/>
      <c r="B44" s="33" t="s">
        <v>94</v>
      </c>
      <c r="C44" s="75"/>
      <c r="D44" s="75"/>
      <c r="E44" s="34"/>
      <c r="F44" s="106"/>
      <c r="G44" s="35"/>
    </row>
    <row r="45" spans="1:7" ht="60.75" customHeight="1">
      <c r="A45" s="48"/>
      <c r="B45" s="14" t="s">
        <v>457</v>
      </c>
      <c r="C45" s="75"/>
      <c r="D45" s="75"/>
      <c r="E45" s="34"/>
      <c r="F45" s="106">
        <v>31157.96</v>
      </c>
      <c r="G45" s="35"/>
    </row>
    <row r="46" spans="1:7" ht="18.75">
      <c r="A46" s="48"/>
      <c r="B46" s="14" t="s">
        <v>458</v>
      </c>
      <c r="C46" s="75"/>
      <c r="D46" s="75"/>
      <c r="E46" s="34"/>
      <c r="F46" s="106">
        <v>648.96</v>
      </c>
      <c r="G46" s="35"/>
    </row>
    <row r="47" spans="1:7" ht="18.75">
      <c r="A47" s="48"/>
      <c r="B47" s="14" t="s">
        <v>459</v>
      </c>
      <c r="C47" s="75"/>
      <c r="D47" s="75"/>
      <c r="E47" s="34"/>
      <c r="F47" s="106">
        <v>798.45</v>
      </c>
      <c r="G47" s="35"/>
    </row>
    <row r="48" spans="1:7" ht="18.75">
      <c r="A48" s="48"/>
      <c r="B48" s="33" t="s">
        <v>78</v>
      </c>
      <c r="C48" s="75"/>
      <c r="D48" s="75"/>
      <c r="E48" s="34"/>
      <c r="F48" s="106"/>
      <c r="G48" s="35"/>
    </row>
    <row r="49" spans="1:7" ht="56.25">
      <c r="A49" s="48"/>
      <c r="B49" s="14" t="s">
        <v>460</v>
      </c>
      <c r="C49" s="75"/>
      <c r="D49" s="75"/>
      <c r="E49" s="34"/>
      <c r="F49" s="106">
        <v>36663.82</v>
      </c>
      <c r="G49" s="35"/>
    </row>
    <row r="50" spans="1:7" ht="18.75">
      <c r="A50" s="48"/>
      <c r="B50" s="14" t="s">
        <v>461</v>
      </c>
      <c r="C50" s="75"/>
      <c r="D50" s="75"/>
      <c r="E50" s="34"/>
      <c r="F50" s="106">
        <v>322.55</v>
      </c>
      <c r="G50" s="35"/>
    </row>
    <row r="51" spans="1:7" ht="37.5">
      <c r="A51" s="48"/>
      <c r="B51" s="14" t="s">
        <v>462</v>
      </c>
      <c r="C51" s="75"/>
      <c r="D51" s="75"/>
      <c r="E51" s="34"/>
      <c r="F51" s="106">
        <v>27850</v>
      </c>
      <c r="G51" s="35"/>
    </row>
    <row r="52" spans="1:7" ht="18.75">
      <c r="A52" s="48"/>
      <c r="B52" s="33" t="s">
        <v>95</v>
      </c>
      <c r="C52" s="75"/>
      <c r="D52" s="75"/>
      <c r="E52" s="34"/>
      <c r="F52" s="106"/>
      <c r="G52" s="35"/>
    </row>
    <row r="53" spans="1:7" ht="72.75" customHeight="1">
      <c r="A53" s="48"/>
      <c r="B53" s="14" t="s">
        <v>463</v>
      </c>
      <c r="C53" s="75"/>
      <c r="D53" s="75"/>
      <c r="E53" s="34"/>
      <c r="F53" s="106">
        <v>63596.37</v>
      </c>
      <c r="G53" s="35"/>
    </row>
    <row r="54" spans="1:9" ht="56.25">
      <c r="A54" s="48"/>
      <c r="B54" s="14" t="s">
        <v>464</v>
      </c>
      <c r="C54" s="75"/>
      <c r="D54" s="75"/>
      <c r="E54" s="34"/>
      <c r="F54" s="106">
        <v>2786.52</v>
      </c>
      <c r="G54" s="35"/>
      <c r="I54" s="76"/>
    </row>
    <row r="55" spans="1:7" ht="18.75">
      <c r="A55" s="48"/>
      <c r="B55" s="14" t="s">
        <v>935</v>
      </c>
      <c r="C55" s="75"/>
      <c r="D55" s="75"/>
      <c r="E55" s="34"/>
      <c r="F55" s="106">
        <v>103.77</v>
      </c>
      <c r="G55" s="35"/>
    </row>
    <row r="56" spans="1:7" ht="18.75">
      <c r="A56" s="48"/>
      <c r="B56" s="33" t="s">
        <v>96</v>
      </c>
      <c r="C56" s="75"/>
      <c r="D56" s="75"/>
      <c r="E56" s="34"/>
      <c r="F56" s="106"/>
      <c r="G56" s="35"/>
    </row>
    <row r="57" spans="1:7" ht="93.75">
      <c r="A57" s="48"/>
      <c r="B57" s="14" t="s">
        <v>465</v>
      </c>
      <c r="C57" s="75"/>
      <c r="D57" s="75"/>
      <c r="E57" s="34"/>
      <c r="F57" s="106">
        <v>53908.44</v>
      </c>
      <c r="G57" s="35"/>
    </row>
    <row r="58" spans="1:7" ht="18.75">
      <c r="A58" s="48"/>
      <c r="B58" s="14" t="s">
        <v>466</v>
      </c>
      <c r="C58" s="75"/>
      <c r="D58" s="75"/>
      <c r="E58" s="34"/>
      <c r="F58" s="106">
        <v>837.61</v>
      </c>
      <c r="G58" s="35"/>
    </row>
    <row r="59" spans="1:7" ht="37.5">
      <c r="A59" s="48"/>
      <c r="B59" s="14" t="s">
        <v>467</v>
      </c>
      <c r="C59" s="75"/>
      <c r="D59" s="75"/>
      <c r="E59" s="34"/>
      <c r="F59" s="106">
        <v>915.25</v>
      </c>
      <c r="G59" s="35"/>
    </row>
    <row r="60" spans="1:7" ht="18.75">
      <c r="A60" s="48"/>
      <c r="B60" s="33" t="s">
        <v>97</v>
      </c>
      <c r="C60" s="75"/>
      <c r="D60" s="75"/>
      <c r="E60" s="34"/>
      <c r="F60" s="106"/>
      <c r="G60" s="35"/>
    </row>
    <row r="61" spans="1:7" ht="98.25" customHeight="1">
      <c r="A61" s="48"/>
      <c r="B61" s="14" t="s">
        <v>468</v>
      </c>
      <c r="C61" s="75"/>
      <c r="D61" s="75"/>
      <c r="E61" s="34"/>
      <c r="F61" s="106">
        <v>20657.78</v>
      </c>
      <c r="G61" s="35"/>
    </row>
    <row r="62" spans="1:7" ht="20.25" customHeight="1">
      <c r="A62" s="48"/>
      <c r="B62" s="14" t="s">
        <v>924</v>
      </c>
      <c r="C62" s="75"/>
      <c r="D62" s="75"/>
      <c r="E62" s="34"/>
      <c r="F62" s="106">
        <v>133832.02</v>
      </c>
      <c r="G62" s="35"/>
    </row>
    <row r="63" spans="1:7" ht="18.75">
      <c r="A63" s="48"/>
      <c r="B63" s="14" t="s">
        <v>469</v>
      </c>
      <c r="C63" s="75"/>
      <c r="D63" s="75"/>
      <c r="E63" s="34"/>
      <c r="F63" s="106">
        <v>873.48</v>
      </c>
      <c r="G63" s="35"/>
    </row>
    <row r="64" spans="1:7" ht="39" customHeight="1">
      <c r="A64" s="48"/>
      <c r="B64" s="14" t="s">
        <v>470</v>
      </c>
      <c r="C64" s="75"/>
      <c r="D64" s="75"/>
      <c r="E64" s="34"/>
      <c r="F64" s="106">
        <v>350405.26</v>
      </c>
      <c r="G64" s="35"/>
    </row>
    <row r="65" spans="1:7" ht="75">
      <c r="A65" s="48"/>
      <c r="B65" s="14" t="s">
        <v>943</v>
      </c>
      <c r="C65" s="75"/>
      <c r="D65" s="75"/>
      <c r="E65" s="34">
        <v>-33910.92</v>
      </c>
      <c r="F65" s="98">
        <f>E65</f>
        <v>-33910.92</v>
      </c>
      <c r="G65" s="35"/>
    </row>
    <row r="66" spans="1:7" ht="18.75">
      <c r="A66" s="14"/>
      <c r="B66" s="14" t="s">
        <v>9</v>
      </c>
      <c r="C66" s="93">
        <f>SUM(C13:C37)</f>
        <v>9.01</v>
      </c>
      <c r="D66" s="93">
        <f>SUM(D13:D37)</f>
        <v>9.6</v>
      </c>
      <c r="E66" s="34">
        <f>SUM(E13:E39)+E65</f>
        <v>1240911.2999999998</v>
      </c>
      <c r="F66" s="34">
        <f>F13+F14+F15+F16+F17+F18+F65</f>
        <v>1623146.9000000001</v>
      </c>
      <c r="G66" s="34">
        <f>SUM(G13:G64)</f>
        <v>1315238.4</v>
      </c>
    </row>
    <row r="67" spans="1:10" ht="18.75">
      <c r="A67" s="33">
        <v>5</v>
      </c>
      <c r="B67" s="25" t="s">
        <v>26</v>
      </c>
      <c r="C67" s="108">
        <v>1.58</v>
      </c>
      <c r="D67" s="108">
        <v>1.85</v>
      </c>
      <c r="E67" s="98">
        <f>H67*I67*6</f>
        <v>234961.86000000004</v>
      </c>
      <c r="F67" s="101">
        <f>E67</f>
        <v>234961.86000000004</v>
      </c>
      <c r="G67" s="101">
        <f>J67*12*H67</f>
        <v>258937.56</v>
      </c>
      <c r="H67" s="69">
        <f>C7</f>
        <v>11417</v>
      </c>
      <c r="I67" s="22">
        <f>C67+D67</f>
        <v>3.43</v>
      </c>
      <c r="J67" s="34">
        <v>1.89</v>
      </c>
    </row>
    <row r="68" spans="1:7" ht="18.75">
      <c r="A68" s="49"/>
      <c r="B68" s="50"/>
      <c r="C68" s="49"/>
      <c r="D68" s="49"/>
      <c r="E68" s="49"/>
      <c r="F68" s="49"/>
      <c r="G68" s="49"/>
    </row>
    <row r="69" spans="1:7" ht="18.75" customHeight="1">
      <c r="A69" s="179" t="s">
        <v>941</v>
      </c>
      <c r="B69" s="179"/>
      <c r="C69" s="193">
        <v>170159.49</v>
      </c>
      <c r="D69" s="193"/>
      <c r="E69" s="49" t="s">
        <v>18</v>
      </c>
      <c r="F69" s="49"/>
      <c r="G69" s="49"/>
    </row>
    <row r="70" spans="1:7" ht="18.75" customHeight="1">
      <c r="A70" s="179" t="s">
        <v>942</v>
      </c>
      <c r="B70" s="179"/>
      <c r="C70" s="193">
        <v>213929.22</v>
      </c>
      <c r="D70" s="193"/>
      <c r="E70" s="49" t="s">
        <v>18</v>
      </c>
      <c r="F70" s="49"/>
      <c r="G70" s="49"/>
    </row>
    <row r="71" spans="1:7" ht="18.75">
      <c r="A71" s="192" t="s">
        <v>17</v>
      </c>
      <c r="B71" s="192"/>
      <c r="C71" s="192"/>
      <c r="D71" s="192"/>
      <c r="E71" s="192"/>
      <c r="F71" s="192"/>
      <c r="G71" s="192"/>
    </row>
    <row r="72" spans="1:7" ht="18.75" customHeight="1" hidden="1">
      <c r="A72" s="194" t="s">
        <v>35</v>
      </c>
      <c r="B72" s="194"/>
      <c r="C72" s="86" t="e">
        <f>C69-#REF!</f>
        <v>#REF!</v>
      </c>
      <c r="D72" s="49" t="s">
        <v>18</v>
      </c>
      <c r="E72" s="49"/>
      <c r="F72" s="49"/>
      <c r="G72" s="49"/>
    </row>
    <row r="73" spans="1:7" ht="18.75" customHeight="1" hidden="1">
      <c r="A73" s="194" t="s">
        <v>36</v>
      </c>
      <c r="B73" s="194"/>
      <c r="C73" s="89">
        <f>E66-F66</f>
        <v>-382235.6000000003</v>
      </c>
      <c r="D73" s="91" t="str">
        <f>D72</f>
        <v>рублей</v>
      </c>
      <c r="E73" s="51"/>
      <c r="F73" s="51"/>
      <c r="G73" s="51"/>
    </row>
    <row r="74" spans="1:7" ht="18.75">
      <c r="A74" s="51"/>
      <c r="B74" s="51"/>
      <c r="C74" s="51"/>
      <c r="D74" s="51"/>
      <c r="E74" s="51"/>
      <c r="F74" s="51"/>
      <c r="G74" s="51"/>
    </row>
    <row r="75" spans="1:7" ht="18.75">
      <c r="A75" s="51"/>
      <c r="B75" s="51"/>
      <c r="C75" s="51"/>
      <c r="D75" s="51"/>
      <c r="E75" s="51"/>
      <c r="F75" s="51"/>
      <c r="G75" s="51"/>
    </row>
    <row r="76" spans="1:7" ht="18.75">
      <c r="A76" s="51"/>
      <c r="B76" s="51"/>
      <c r="C76" s="51"/>
      <c r="D76" s="51"/>
      <c r="E76" s="51"/>
      <c r="F76" s="51"/>
      <c r="G76" s="51"/>
    </row>
    <row r="77" spans="1:7" ht="18.75">
      <c r="A77" s="51"/>
      <c r="B77" s="51"/>
      <c r="C77" s="51"/>
      <c r="D77" s="51"/>
      <c r="E77" s="51"/>
      <c r="F77" s="51"/>
      <c r="G77" s="51"/>
    </row>
    <row r="78" spans="1:7" ht="18.75">
      <c r="A78" s="51"/>
      <c r="B78" s="51"/>
      <c r="C78" s="51"/>
      <c r="D78" s="51"/>
      <c r="E78" s="51"/>
      <c r="F78" s="51"/>
      <c r="G78" s="51"/>
    </row>
    <row r="79" spans="1:7" ht="18.75">
      <c r="A79" s="51"/>
      <c r="B79" s="51"/>
      <c r="C79" s="51"/>
      <c r="D79" s="51"/>
      <c r="E79" s="51"/>
      <c r="F79" s="51"/>
      <c r="G79" s="51"/>
    </row>
    <row r="80" spans="1:7" ht="18.75">
      <c r="A80" s="51"/>
      <c r="B80" s="51"/>
      <c r="C80" s="51"/>
      <c r="D80" s="51"/>
      <c r="E80" s="51"/>
      <c r="F80" s="51"/>
      <c r="G80" s="51"/>
    </row>
    <row r="81" spans="1:7" ht="18.75">
      <c r="A81" s="51"/>
      <c r="B81" s="51"/>
      <c r="C81" s="51"/>
      <c r="D81" s="51"/>
      <c r="E81" s="51"/>
      <c r="F81" s="51"/>
      <c r="G81" s="51"/>
    </row>
    <row r="82" spans="1:7" ht="18.75">
      <c r="A82" s="51"/>
      <c r="B82" s="51"/>
      <c r="C82" s="51"/>
      <c r="D82" s="51"/>
      <c r="E82" s="51"/>
      <c r="F82" s="51"/>
      <c r="G82" s="51"/>
    </row>
  </sheetData>
  <sheetProtection/>
  <mergeCells count="16">
    <mergeCell ref="A9:A11"/>
    <mergeCell ref="B9:B11"/>
    <mergeCell ref="C9:D10"/>
    <mergeCell ref="E9:E11"/>
    <mergeCell ref="A1:G2"/>
    <mergeCell ref="A3:G3"/>
    <mergeCell ref="A4:G5"/>
    <mergeCell ref="F9:F11"/>
    <mergeCell ref="G9:G11"/>
    <mergeCell ref="C69:D69"/>
    <mergeCell ref="C70:D70"/>
    <mergeCell ref="A71:G71"/>
    <mergeCell ref="A72:B72"/>
    <mergeCell ref="A73:B73"/>
    <mergeCell ref="A69:B69"/>
    <mergeCell ref="A70:B7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33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X107"/>
  <sheetViews>
    <sheetView view="pageBreakPreview" zoomScale="75" zoomScaleSheetLayoutView="75" zoomScalePageLayoutView="0" workbookViewId="0" topLeftCell="A58">
      <selection activeCell="E63" sqref="E63"/>
    </sheetView>
  </sheetViews>
  <sheetFormatPr defaultColWidth="9.00390625" defaultRowHeight="12.75"/>
  <cols>
    <col min="1" max="1" width="9.375" style="0" bestFit="1" customWidth="1"/>
    <col min="2" max="2" width="53.625" style="0" customWidth="1"/>
    <col min="3" max="3" width="14.125" style="0" customWidth="1"/>
    <col min="4" max="4" width="15.25390625" style="0" customWidth="1"/>
    <col min="5" max="5" width="15.875" style="0" customWidth="1"/>
    <col min="6" max="6" width="15.75390625" style="0" bestFit="1" customWidth="1"/>
    <col min="7" max="7" width="15.625" style="0" customWidth="1"/>
    <col min="8" max="8" width="11.375" style="0" hidden="1" customWidth="1"/>
    <col min="9" max="10" width="9.375" style="0" hidden="1" customWidth="1"/>
    <col min="11" max="13" width="9.375" style="0" customWidth="1"/>
    <col min="14" max="14" width="10.00390625" style="0" customWidth="1"/>
    <col min="15" max="16" width="9.375" style="0" customWidth="1"/>
    <col min="17" max="17" width="10.00390625" style="0" customWidth="1"/>
    <col min="18" max="18" width="9.375" style="0" customWidth="1"/>
    <col min="19" max="21" width="9.25390625" style="0" customWidth="1"/>
    <col min="22" max="26" width="11.00390625" style="0" customWidth="1"/>
    <col min="27" max="34" width="9.125" style="0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39.75" customHeight="1">
      <c r="A3" s="182" t="s">
        <v>49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471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11648.9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201" t="s">
        <v>8</v>
      </c>
      <c r="B9" s="201" t="s">
        <v>6</v>
      </c>
      <c r="C9" s="185" t="s">
        <v>32</v>
      </c>
      <c r="D9" s="204"/>
      <c r="E9" s="189" t="s">
        <v>99</v>
      </c>
      <c r="F9" s="189" t="s">
        <v>74</v>
      </c>
      <c r="G9" s="189" t="s">
        <v>218</v>
      </c>
      <c r="H9" s="11"/>
      <c r="I9" s="2"/>
      <c r="J9" s="197"/>
      <c r="K9" s="198"/>
      <c r="L9" s="198"/>
      <c r="M9" s="198"/>
      <c r="N9" s="198"/>
      <c r="O9" s="198"/>
      <c r="P9" s="198"/>
      <c r="Q9" s="198"/>
      <c r="R9" s="199"/>
      <c r="S9" s="199"/>
      <c r="T9" s="199"/>
      <c r="U9" s="199"/>
      <c r="V9" s="199"/>
      <c r="W9" s="199"/>
      <c r="X9" s="199"/>
    </row>
    <row r="10" spans="1:24" ht="67.5" customHeight="1">
      <c r="A10" s="202"/>
      <c r="B10" s="202"/>
      <c r="C10" s="187"/>
      <c r="D10" s="205"/>
      <c r="E10" s="190"/>
      <c r="F10" s="190"/>
      <c r="G10" s="190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137.25" customHeight="1">
      <c r="A11" s="203"/>
      <c r="B11" s="203"/>
      <c r="C11" s="87" t="s">
        <v>107</v>
      </c>
      <c r="D11" s="87" t="s">
        <v>106</v>
      </c>
      <c r="E11" s="191"/>
      <c r="F11" s="191"/>
      <c r="G11" s="191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42" t="s">
        <v>12</v>
      </c>
      <c r="B12" s="53" t="s">
        <v>20</v>
      </c>
      <c r="C12" s="74"/>
      <c r="D12" s="74"/>
      <c r="E12" s="42"/>
      <c r="F12" s="42"/>
      <c r="G12" s="42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19" ht="18.75">
      <c r="A13" s="42" t="s">
        <v>13</v>
      </c>
      <c r="B13" s="53" t="s">
        <v>10</v>
      </c>
      <c r="C13" s="34">
        <v>1.09</v>
      </c>
      <c r="D13" s="34">
        <v>1.14</v>
      </c>
      <c r="E13" s="32">
        <f aca="true" t="shared" si="0" ref="E13:E18">H13*I13*6</f>
        <v>155862.282</v>
      </c>
      <c r="F13" s="42">
        <f>E13</f>
        <v>155862.282</v>
      </c>
      <c r="G13" s="42">
        <f aca="true" t="shared" si="1" ref="G13:G18">H13*J13*12</f>
        <v>159356.952</v>
      </c>
      <c r="H13" s="17">
        <f>C7</f>
        <v>11648.9</v>
      </c>
      <c r="I13" s="18">
        <f aca="true" t="shared" si="2" ref="I13:I18">C13+D13</f>
        <v>2.23</v>
      </c>
      <c r="J13" s="34">
        <v>1.14</v>
      </c>
      <c r="N13" s="20"/>
      <c r="O13" s="20"/>
      <c r="P13" s="20"/>
      <c r="Q13" s="21"/>
      <c r="R13" s="22"/>
      <c r="S13" s="22"/>
    </row>
    <row r="14" spans="1:19" ht="37.5">
      <c r="A14" s="42" t="s">
        <v>14</v>
      </c>
      <c r="B14" s="53" t="s">
        <v>15</v>
      </c>
      <c r="C14" s="34">
        <v>1.39</v>
      </c>
      <c r="D14" s="34">
        <v>1.46</v>
      </c>
      <c r="E14" s="32">
        <f t="shared" si="0"/>
        <v>199196.19</v>
      </c>
      <c r="F14" s="42">
        <f>E14</f>
        <v>199196.19</v>
      </c>
      <c r="G14" s="42">
        <f t="shared" si="1"/>
        <v>204088.728</v>
      </c>
      <c r="H14" s="17">
        <f>H13</f>
        <v>11648.9</v>
      </c>
      <c r="I14" s="18">
        <f t="shared" si="2"/>
        <v>2.8499999999999996</v>
      </c>
      <c r="J14" s="34">
        <v>1.46</v>
      </c>
      <c r="N14" s="20"/>
      <c r="O14" s="20"/>
      <c r="P14" s="20"/>
      <c r="Q14" s="21"/>
      <c r="R14" s="22"/>
      <c r="S14" s="22"/>
    </row>
    <row r="15" spans="1:19" ht="18.75">
      <c r="A15" s="42" t="s">
        <v>16</v>
      </c>
      <c r="B15" s="53" t="s">
        <v>7</v>
      </c>
      <c r="C15" s="34"/>
      <c r="D15" s="34"/>
      <c r="E15" s="32"/>
      <c r="F15" s="42"/>
      <c r="G15" s="42"/>
      <c r="H15" s="17">
        <f>H14</f>
        <v>11648.9</v>
      </c>
      <c r="I15" s="18">
        <f t="shared" si="2"/>
        <v>0</v>
      </c>
      <c r="J15" s="34">
        <v>0</v>
      </c>
      <c r="N15" s="20"/>
      <c r="O15" s="20"/>
      <c r="P15" s="20"/>
      <c r="Q15" s="21"/>
      <c r="R15" s="22"/>
      <c r="S15" s="22"/>
    </row>
    <row r="16" spans="1:19" ht="18.75">
      <c r="A16" s="42" t="s">
        <v>21</v>
      </c>
      <c r="B16" s="53" t="s">
        <v>11</v>
      </c>
      <c r="C16" s="34">
        <v>0.82</v>
      </c>
      <c r="D16" s="34">
        <v>0.58</v>
      </c>
      <c r="E16" s="32">
        <f t="shared" si="0"/>
        <v>97850.76</v>
      </c>
      <c r="F16" s="42">
        <f>E16</f>
        <v>97850.76</v>
      </c>
      <c r="G16" s="42">
        <f t="shared" si="1"/>
        <v>81076.34399999998</v>
      </c>
      <c r="H16" s="17">
        <f>H15</f>
        <v>11648.9</v>
      </c>
      <c r="I16" s="18">
        <f t="shared" si="2"/>
        <v>1.4</v>
      </c>
      <c r="J16" s="34">
        <v>0.58</v>
      </c>
      <c r="N16" s="20"/>
      <c r="O16" s="20"/>
      <c r="P16" s="20"/>
      <c r="Q16" s="21"/>
      <c r="R16" s="22"/>
      <c r="S16" s="22"/>
    </row>
    <row r="17" spans="1:19" ht="18.75">
      <c r="A17" s="42" t="s">
        <v>22</v>
      </c>
      <c r="B17" s="53" t="s">
        <v>19</v>
      </c>
      <c r="C17" s="34">
        <v>1.24</v>
      </c>
      <c r="D17" s="34">
        <v>1.24</v>
      </c>
      <c r="E17" s="32">
        <f t="shared" si="0"/>
        <v>173335.63199999998</v>
      </c>
      <c r="F17" s="42">
        <f>E17</f>
        <v>173335.63199999998</v>
      </c>
      <c r="G17" s="42">
        <f t="shared" si="1"/>
        <v>173335.63199999998</v>
      </c>
      <c r="H17" s="17">
        <f>H16</f>
        <v>11648.9</v>
      </c>
      <c r="I17" s="18">
        <f t="shared" si="2"/>
        <v>2.48</v>
      </c>
      <c r="J17" s="34">
        <v>1.24</v>
      </c>
      <c r="N17" s="20"/>
      <c r="O17" s="20"/>
      <c r="P17" s="20"/>
      <c r="Q17" s="21"/>
      <c r="R17" s="22"/>
      <c r="S17" s="22"/>
    </row>
    <row r="18" spans="1:19" ht="75">
      <c r="A18" s="42" t="s">
        <v>23</v>
      </c>
      <c r="B18" s="53" t="s">
        <v>24</v>
      </c>
      <c r="C18" s="34">
        <v>4.47</v>
      </c>
      <c r="D18" s="34">
        <v>5.18</v>
      </c>
      <c r="E18" s="32">
        <f t="shared" si="0"/>
        <v>674471.3099999998</v>
      </c>
      <c r="F18" s="99">
        <f>F20+F21+F22+F24+F25+F26+F28+F29+F30+F32+F33+F34+F36+F37+F38+F40+F41+F42+F44+F45+F47+F48+F50+F51+F52+F54+F55+F57+F58+F60+F61</f>
        <v>631504.0299999999</v>
      </c>
      <c r="G18" s="42">
        <f t="shared" si="1"/>
        <v>724095.624</v>
      </c>
      <c r="H18" s="17">
        <f>H17</f>
        <v>11648.9</v>
      </c>
      <c r="I18" s="18">
        <f t="shared" si="2"/>
        <v>9.649999999999999</v>
      </c>
      <c r="J18" s="34">
        <v>5.18</v>
      </c>
      <c r="N18" s="20"/>
      <c r="O18" s="20"/>
      <c r="P18" s="20"/>
      <c r="Q18" s="21"/>
      <c r="R18" s="22"/>
      <c r="S18" s="22"/>
    </row>
    <row r="19" spans="1:19" ht="18.75">
      <c r="A19" s="42"/>
      <c r="B19" s="42" t="s">
        <v>75</v>
      </c>
      <c r="C19" s="74"/>
      <c r="D19" s="74"/>
      <c r="E19" s="42"/>
      <c r="F19" s="99"/>
      <c r="G19" s="42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37.5">
      <c r="A20" s="42"/>
      <c r="B20" s="53" t="s">
        <v>472</v>
      </c>
      <c r="C20" s="74"/>
      <c r="D20" s="74"/>
      <c r="E20" s="42"/>
      <c r="F20" s="100">
        <v>2638.81</v>
      </c>
      <c r="G20" s="42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42"/>
      <c r="B21" s="53" t="s">
        <v>30</v>
      </c>
      <c r="C21" s="74"/>
      <c r="D21" s="74"/>
      <c r="E21" s="42"/>
      <c r="F21" s="99">
        <v>1194.64</v>
      </c>
      <c r="G21" s="42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56.25">
      <c r="A22" s="42"/>
      <c r="B22" s="53" t="s">
        <v>473</v>
      </c>
      <c r="C22" s="74"/>
      <c r="D22" s="74"/>
      <c r="E22" s="42"/>
      <c r="F22" s="99">
        <v>29837.3</v>
      </c>
      <c r="G22" s="42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42"/>
      <c r="B23" s="42" t="s">
        <v>88</v>
      </c>
      <c r="C23" s="74"/>
      <c r="D23" s="74"/>
      <c r="E23" s="42"/>
      <c r="F23" s="99"/>
      <c r="G23" s="42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56.25" customHeight="1">
      <c r="A24" s="42"/>
      <c r="B24" s="53" t="s">
        <v>474</v>
      </c>
      <c r="C24" s="74"/>
      <c r="D24" s="74"/>
      <c r="E24" s="42"/>
      <c r="F24" s="99">
        <v>50239.26</v>
      </c>
      <c r="G24" s="42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22.5" customHeight="1">
      <c r="A25" s="42"/>
      <c r="B25" s="53" t="s">
        <v>475</v>
      </c>
      <c r="C25" s="74"/>
      <c r="D25" s="74"/>
      <c r="E25" s="42"/>
      <c r="F25" s="99">
        <v>8765.94</v>
      </c>
      <c r="G25" s="42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37.5">
      <c r="A26" s="42"/>
      <c r="B26" s="53" t="s">
        <v>476</v>
      </c>
      <c r="C26" s="74"/>
      <c r="D26" s="74"/>
      <c r="E26" s="42"/>
      <c r="F26" s="99">
        <v>4650.2</v>
      </c>
      <c r="G26" s="42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42"/>
      <c r="B27" s="42" t="s">
        <v>89</v>
      </c>
      <c r="C27" s="74"/>
      <c r="D27" s="74"/>
      <c r="E27" s="42"/>
      <c r="F27" s="99"/>
      <c r="G27" s="42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37.5">
      <c r="A28" s="42"/>
      <c r="B28" s="53" t="s">
        <v>477</v>
      </c>
      <c r="C28" s="74"/>
      <c r="D28" s="74"/>
      <c r="E28" s="42"/>
      <c r="F28" s="99">
        <v>3433.44</v>
      </c>
      <c r="G28" s="42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42"/>
      <c r="B29" s="53" t="s">
        <v>30</v>
      </c>
      <c r="C29" s="74"/>
      <c r="D29" s="74"/>
      <c r="E29" s="42"/>
      <c r="F29" s="99">
        <v>597.33</v>
      </c>
      <c r="G29" s="42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56.25">
      <c r="A30" s="42"/>
      <c r="B30" s="53" t="s">
        <v>478</v>
      </c>
      <c r="C30" s="74"/>
      <c r="D30" s="74"/>
      <c r="E30" s="42"/>
      <c r="F30" s="99">
        <v>19016.03</v>
      </c>
      <c r="G30" s="42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42"/>
      <c r="B31" s="42" t="s">
        <v>90</v>
      </c>
      <c r="C31" s="74"/>
      <c r="D31" s="74"/>
      <c r="E31" s="42"/>
      <c r="F31" s="99"/>
      <c r="G31" s="42"/>
      <c r="H31" s="17"/>
      <c r="I31" s="18"/>
      <c r="J31" s="19"/>
      <c r="N31" s="20"/>
      <c r="O31" s="20"/>
      <c r="P31" s="20"/>
      <c r="Q31" s="21"/>
      <c r="R31" s="22"/>
      <c r="S31" s="22"/>
    </row>
    <row r="32" spans="1:18" ht="56.25">
      <c r="A32" s="42"/>
      <c r="B32" s="53" t="s">
        <v>479</v>
      </c>
      <c r="C32" s="74"/>
      <c r="D32" s="74"/>
      <c r="E32" s="42"/>
      <c r="F32" s="99">
        <v>30110.22</v>
      </c>
      <c r="G32" s="42"/>
      <c r="H32" s="17"/>
      <c r="I32" s="18"/>
      <c r="J32" s="19"/>
      <c r="N32" s="20"/>
      <c r="O32" s="20"/>
      <c r="P32" s="20"/>
      <c r="Q32" s="24"/>
      <c r="R32" s="22"/>
    </row>
    <row r="33" spans="1:18" ht="18.75">
      <c r="A33" s="42"/>
      <c r="B33" s="53" t="s">
        <v>480</v>
      </c>
      <c r="C33" s="74"/>
      <c r="D33" s="74"/>
      <c r="E33" s="42"/>
      <c r="F33" s="99">
        <v>18208.27</v>
      </c>
      <c r="G33" s="42"/>
      <c r="H33" s="17"/>
      <c r="I33" s="18"/>
      <c r="J33" s="19"/>
      <c r="N33" s="20"/>
      <c r="O33" s="20"/>
      <c r="P33" s="20"/>
      <c r="Q33" s="24"/>
      <c r="R33" s="22"/>
    </row>
    <row r="34" spans="1:18" ht="37.5">
      <c r="A34" s="42"/>
      <c r="B34" s="53" t="s">
        <v>481</v>
      </c>
      <c r="C34" s="74"/>
      <c r="D34" s="74"/>
      <c r="E34" s="42"/>
      <c r="F34" s="99">
        <v>2672.1</v>
      </c>
      <c r="G34" s="42"/>
      <c r="H34" s="17"/>
      <c r="I34" s="18"/>
      <c r="J34" s="19"/>
      <c r="N34" s="20"/>
      <c r="O34" s="20"/>
      <c r="P34" s="20"/>
      <c r="Q34" s="24"/>
      <c r="R34" s="22"/>
    </row>
    <row r="35" spans="1:18" ht="18.75">
      <c r="A35" s="42"/>
      <c r="B35" s="42" t="s">
        <v>91</v>
      </c>
      <c r="C35" s="74"/>
      <c r="D35" s="74"/>
      <c r="E35" s="42"/>
      <c r="F35" s="99"/>
      <c r="G35" s="42"/>
      <c r="H35" s="17"/>
      <c r="I35" s="18"/>
      <c r="J35" s="19"/>
      <c r="N35" s="20"/>
      <c r="O35" s="20"/>
      <c r="P35" s="20"/>
      <c r="Q35" s="24"/>
      <c r="R35" s="22"/>
    </row>
    <row r="36" spans="1:18" ht="18.75">
      <c r="A36" s="42"/>
      <c r="B36" s="53" t="s">
        <v>482</v>
      </c>
      <c r="C36" s="74"/>
      <c r="D36" s="74"/>
      <c r="E36" s="42"/>
      <c r="F36" s="99">
        <v>1183.23</v>
      </c>
      <c r="G36" s="42"/>
      <c r="H36" s="17"/>
      <c r="I36" s="18"/>
      <c r="J36" s="19"/>
      <c r="N36" s="20"/>
      <c r="O36" s="20"/>
      <c r="P36" s="20"/>
      <c r="Q36" s="24"/>
      <c r="R36" s="22"/>
    </row>
    <row r="37" spans="1:18" ht="56.25">
      <c r="A37" s="42"/>
      <c r="B37" s="53" t="s">
        <v>483</v>
      </c>
      <c r="C37" s="74"/>
      <c r="D37" s="74"/>
      <c r="E37" s="42"/>
      <c r="F37" s="99">
        <v>36480.02</v>
      </c>
      <c r="G37" s="42"/>
      <c r="H37" s="17"/>
      <c r="I37" s="18"/>
      <c r="J37" s="19"/>
      <c r="N37" s="20"/>
      <c r="O37" s="20"/>
      <c r="P37" s="20"/>
      <c r="Q37" s="24"/>
      <c r="R37" s="22"/>
    </row>
    <row r="38" spans="1:18" ht="18.75">
      <c r="A38" s="42"/>
      <c r="B38" s="53" t="s">
        <v>484</v>
      </c>
      <c r="C38" s="74"/>
      <c r="D38" s="74"/>
      <c r="E38" s="42"/>
      <c r="F38" s="99">
        <v>103.77</v>
      </c>
      <c r="G38" s="42"/>
      <c r="H38" s="17"/>
      <c r="I38" s="18"/>
      <c r="J38" s="19"/>
      <c r="N38" s="20"/>
      <c r="O38" s="20"/>
      <c r="P38" s="20"/>
      <c r="Q38" s="24"/>
      <c r="R38" s="22"/>
    </row>
    <row r="39" spans="1:18" ht="18.75">
      <c r="A39" s="42"/>
      <c r="B39" s="42" t="s">
        <v>92</v>
      </c>
      <c r="C39" s="74"/>
      <c r="D39" s="74"/>
      <c r="E39" s="42"/>
      <c r="F39" s="99"/>
      <c r="G39" s="42"/>
      <c r="H39" s="17"/>
      <c r="I39" s="18"/>
      <c r="J39" s="19"/>
      <c r="N39" s="20"/>
      <c r="O39" s="20"/>
      <c r="P39" s="20"/>
      <c r="Q39" s="24"/>
      <c r="R39" s="22"/>
    </row>
    <row r="40" spans="1:18" ht="57" customHeight="1">
      <c r="A40" s="42"/>
      <c r="B40" s="53" t="s">
        <v>485</v>
      </c>
      <c r="C40" s="74"/>
      <c r="D40" s="74"/>
      <c r="E40" s="42"/>
      <c r="F40" s="99">
        <v>95738.61</v>
      </c>
      <c r="G40" s="42"/>
      <c r="H40" s="17"/>
      <c r="I40" s="18"/>
      <c r="J40" s="19"/>
      <c r="N40" s="20"/>
      <c r="O40" s="20"/>
      <c r="P40" s="20"/>
      <c r="Q40" s="24"/>
      <c r="R40" s="22"/>
    </row>
    <row r="41" spans="1:18" ht="23.25" customHeight="1">
      <c r="A41" s="42"/>
      <c r="B41" s="53" t="s">
        <v>486</v>
      </c>
      <c r="C41" s="74"/>
      <c r="D41" s="74"/>
      <c r="E41" s="42"/>
      <c r="F41" s="99">
        <v>1743.93</v>
      </c>
      <c r="G41" s="42"/>
      <c r="H41" s="17"/>
      <c r="I41" s="18"/>
      <c r="J41" s="19"/>
      <c r="N41" s="20"/>
      <c r="O41" s="20"/>
      <c r="P41" s="20"/>
      <c r="Q41" s="24"/>
      <c r="R41" s="22"/>
    </row>
    <row r="42" spans="1:18" ht="41.25" customHeight="1">
      <c r="A42" s="42"/>
      <c r="B42" s="53" t="s">
        <v>487</v>
      </c>
      <c r="C42" s="74"/>
      <c r="D42" s="74"/>
      <c r="E42" s="42"/>
      <c r="F42" s="99">
        <v>4201.99</v>
      </c>
      <c r="G42" s="42"/>
      <c r="H42" s="17"/>
      <c r="I42" s="18"/>
      <c r="J42" s="19"/>
      <c r="N42" s="20"/>
      <c r="O42" s="20"/>
      <c r="P42" s="20"/>
      <c r="Q42" s="24"/>
      <c r="R42" s="22"/>
    </row>
    <row r="43" spans="1:18" ht="18.75">
      <c r="A43" s="42"/>
      <c r="B43" s="42" t="s">
        <v>93</v>
      </c>
      <c r="C43" s="74"/>
      <c r="D43" s="74"/>
      <c r="E43" s="42"/>
      <c r="F43" s="99"/>
      <c r="G43" s="42"/>
      <c r="H43" s="17"/>
      <c r="I43" s="18"/>
      <c r="J43" s="19"/>
      <c r="N43" s="20"/>
      <c r="O43" s="20"/>
      <c r="P43" s="20"/>
      <c r="Q43" s="24"/>
      <c r="R43" s="22"/>
    </row>
    <row r="44" spans="1:18" ht="37.5">
      <c r="A44" s="42"/>
      <c r="B44" s="53" t="s">
        <v>488</v>
      </c>
      <c r="C44" s="74"/>
      <c r="D44" s="74"/>
      <c r="E44" s="42"/>
      <c r="F44" s="99">
        <v>32267.66</v>
      </c>
      <c r="G44" s="42"/>
      <c r="H44" s="17"/>
      <c r="I44" s="18"/>
      <c r="J44" s="19"/>
      <c r="N44" s="20"/>
      <c r="O44" s="20"/>
      <c r="P44" s="20"/>
      <c r="Q44" s="24"/>
      <c r="R44" s="22"/>
    </row>
    <row r="45" spans="1:18" ht="37.5">
      <c r="A45" s="42"/>
      <c r="B45" s="53" t="s">
        <v>489</v>
      </c>
      <c r="C45" s="74"/>
      <c r="D45" s="74"/>
      <c r="E45" s="42"/>
      <c r="F45" s="99">
        <v>1561.6</v>
      </c>
      <c r="G45" s="42"/>
      <c r="H45" s="17"/>
      <c r="I45" s="18"/>
      <c r="J45" s="19"/>
      <c r="N45" s="20"/>
      <c r="O45" s="20"/>
      <c r="P45" s="20"/>
      <c r="Q45" s="24"/>
      <c r="R45" s="22"/>
    </row>
    <row r="46" spans="1:18" ht="18.75">
      <c r="A46" s="42"/>
      <c r="B46" s="42" t="s">
        <v>94</v>
      </c>
      <c r="C46" s="74"/>
      <c r="D46" s="74"/>
      <c r="E46" s="42"/>
      <c r="F46" s="99"/>
      <c r="G46" s="42"/>
      <c r="H46" s="17"/>
      <c r="I46" s="18"/>
      <c r="J46" s="19"/>
      <c r="N46" s="20"/>
      <c r="O46" s="20"/>
      <c r="P46" s="20"/>
      <c r="Q46" s="24"/>
      <c r="R46" s="22"/>
    </row>
    <row r="47" spans="1:18" ht="56.25">
      <c r="A47" s="42"/>
      <c r="B47" s="53" t="s">
        <v>490</v>
      </c>
      <c r="C47" s="74"/>
      <c r="D47" s="74"/>
      <c r="E47" s="42"/>
      <c r="F47" s="99">
        <v>32797.11</v>
      </c>
      <c r="G47" s="42"/>
      <c r="H47" s="17"/>
      <c r="I47" s="18"/>
      <c r="J47" s="19"/>
      <c r="N47" s="20"/>
      <c r="O47" s="20"/>
      <c r="P47" s="20"/>
      <c r="Q47" s="24"/>
      <c r="R47" s="22"/>
    </row>
    <row r="48" spans="1:18" ht="37.5">
      <c r="A48" s="42"/>
      <c r="B48" s="53" t="s">
        <v>491</v>
      </c>
      <c r="C48" s="42"/>
      <c r="D48" s="42"/>
      <c r="E48" s="42"/>
      <c r="F48" s="99">
        <v>21262.47</v>
      </c>
      <c r="G48" s="42"/>
      <c r="H48" s="17"/>
      <c r="I48" s="18"/>
      <c r="J48" s="19"/>
      <c r="N48" s="20"/>
      <c r="O48" s="20"/>
      <c r="P48" s="20"/>
      <c r="Q48" s="24"/>
      <c r="R48" s="22"/>
    </row>
    <row r="49" spans="1:18" ht="18.75">
      <c r="A49" s="42"/>
      <c r="B49" s="42" t="s">
        <v>98</v>
      </c>
      <c r="C49" s="42"/>
      <c r="D49" s="42"/>
      <c r="E49" s="42"/>
      <c r="F49" s="99"/>
      <c r="G49" s="42"/>
      <c r="H49" s="17"/>
      <c r="I49" s="18"/>
      <c r="J49" s="19"/>
      <c r="N49" s="20"/>
      <c r="O49" s="20"/>
      <c r="P49" s="20"/>
      <c r="Q49" s="24"/>
      <c r="R49" s="22"/>
    </row>
    <row r="50" spans="1:18" ht="37.5">
      <c r="A50" s="42"/>
      <c r="B50" s="78" t="s">
        <v>492</v>
      </c>
      <c r="C50" s="42"/>
      <c r="D50" s="42"/>
      <c r="E50" s="42"/>
      <c r="F50" s="99">
        <v>33126.06</v>
      </c>
      <c r="G50" s="42"/>
      <c r="H50" s="17"/>
      <c r="I50" s="18"/>
      <c r="J50" s="19"/>
      <c r="N50" s="20"/>
      <c r="O50" s="20"/>
      <c r="P50" s="20"/>
      <c r="Q50" s="24"/>
      <c r="R50" s="22"/>
    </row>
    <row r="51" spans="1:18" ht="56.25">
      <c r="A51" s="42"/>
      <c r="B51" s="78" t="s">
        <v>493</v>
      </c>
      <c r="C51" s="42"/>
      <c r="D51" s="42"/>
      <c r="E51" s="42"/>
      <c r="F51" s="99">
        <v>3059.53</v>
      </c>
      <c r="G51" s="42"/>
      <c r="H51" s="17"/>
      <c r="I51" s="18"/>
      <c r="J51" s="19"/>
      <c r="N51" s="20"/>
      <c r="O51" s="20"/>
      <c r="P51" s="20"/>
      <c r="Q51" s="24"/>
      <c r="R51" s="22"/>
    </row>
    <row r="52" spans="1:18" ht="18.75">
      <c r="A52" s="42"/>
      <c r="B52" s="78" t="s">
        <v>494</v>
      </c>
      <c r="C52" s="42"/>
      <c r="D52" s="42"/>
      <c r="E52" s="42"/>
      <c r="F52" s="99">
        <v>9350</v>
      </c>
      <c r="G52" s="42"/>
      <c r="H52" s="17"/>
      <c r="I52" s="18"/>
      <c r="J52" s="19"/>
      <c r="N52" s="20"/>
      <c r="O52" s="20"/>
      <c r="P52" s="20"/>
      <c r="Q52" s="24"/>
      <c r="R52" s="22"/>
    </row>
    <row r="53" spans="1:18" ht="18.75">
      <c r="A53" s="42"/>
      <c r="B53" s="42" t="s">
        <v>95</v>
      </c>
      <c r="C53" s="42"/>
      <c r="D53" s="42"/>
      <c r="E53" s="42"/>
      <c r="F53" s="99"/>
      <c r="G53" s="42"/>
      <c r="H53" s="17"/>
      <c r="I53" s="18"/>
      <c r="J53" s="19"/>
      <c r="N53" s="20"/>
      <c r="O53" s="20"/>
      <c r="P53" s="20"/>
      <c r="Q53" s="24"/>
      <c r="R53" s="22"/>
    </row>
    <row r="54" spans="1:18" ht="75">
      <c r="A54" s="42"/>
      <c r="B54" s="78" t="s">
        <v>495</v>
      </c>
      <c r="C54" s="42"/>
      <c r="D54" s="42"/>
      <c r="E54" s="42"/>
      <c r="F54" s="99">
        <v>37057.49</v>
      </c>
      <c r="G54" s="42"/>
      <c r="H54" s="17"/>
      <c r="I54" s="18"/>
      <c r="J54" s="19"/>
      <c r="N54" s="20"/>
      <c r="O54" s="20"/>
      <c r="P54" s="20"/>
      <c r="Q54" s="24"/>
      <c r="R54" s="22"/>
    </row>
    <row r="55" spans="1:18" ht="56.25">
      <c r="A55" s="42"/>
      <c r="B55" s="78" t="s">
        <v>496</v>
      </c>
      <c r="C55" s="42"/>
      <c r="D55" s="42"/>
      <c r="E55" s="42"/>
      <c r="F55" s="99">
        <v>2647.06</v>
      </c>
      <c r="G55" s="42"/>
      <c r="H55" s="17"/>
      <c r="I55" s="18"/>
      <c r="J55" s="19"/>
      <c r="N55" s="20"/>
      <c r="O55" s="20"/>
      <c r="P55" s="20"/>
      <c r="Q55" s="24"/>
      <c r="R55" s="22"/>
    </row>
    <row r="56" spans="1:18" ht="18.75">
      <c r="A56" s="42"/>
      <c r="B56" s="42" t="s">
        <v>96</v>
      </c>
      <c r="C56" s="42"/>
      <c r="D56" s="42"/>
      <c r="E56" s="42"/>
      <c r="F56" s="99"/>
      <c r="G56" s="42"/>
      <c r="H56" s="17"/>
      <c r="I56" s="18"/>
      <c r="J56" s="19"/>
      <c r="N56" s="20"/>
      <c r="O56" s="20"/>
      <c r="P56" s="20"/>
      <c r="Q56" s="24"/>
      <c r="R56" s="22"/>
    </row>
    <row r="57" spans="1:18" ht="75">
      <c r="A57" s="42"/>
      <c r="B57" s="53" t="s">
        <v>497</v>
      </c>
      <c r="C57" s="42"/>
      <c r="D57" s="42"/>
      <c r="E57" s="42"/>
      <c r="F57" s="99">
        <v>126666.86</v>
      </c>
      <c r="G57" s="42"/>
      <c r="H57" s="17"/>
      <c r="I57" s="18"/>
      <c r="J57" s="19"/>
      <c r="N57" s="20"/>
      <c r="O57" s="20"/>
      <c r="P57" s="20"/>
      <c r="Q57" s="24"/>
      <c r="R57" s="22"/>
    </row>
    <row r="58" spans="1:18" ht="37.5">
      <c r="A58" s="42"/>
      <c r="B58" s="78" t="s">
        <v>498</v>
      </c>
      <c r="C58" s="42"/>
      <c r="D58" s="42"/>
      <c r="E58" s="42"/>
      <c r="F58" s="99">
        <v>3367.43</v>
      </c>
      <c r="G58" s="42"/>
      <c r="H58" s="17"/>
      <c r="I58" s="18"/>
      <c r="J58" s="19"/>
      <c r="N58" s="20"/>
      <c r="O58" s="20"/>
      <c r="P58" s="20"/>
      <c r="Q58" s="24"/>
      <c r="R58" s="22"/>
    </row>
    <row r="59" spans="1:18" ht="18.75">
      <c r="A59" s="42"/>
      <c r="B59" s="42" t="s">
        <v>97</v>
      </c>
      <c r="C59" s="42"/>
      <c r="D59" s="42"/>
      <c r="E59" s="42"/>
      <c r="F59" s="99"/>
      <c r="G59" s="42"/>
      <c r="H59" s="17"/>
      <c r="I59" s="18"/>
      <c r="J59" s="19"/>
      <c r="N59" s="20"/>
      <c r="O59" s="20"/>
      <c r="P59" s="20"/>
      <c r="Q59" s="24"/>
      <c r="R59" s="22"/>
    </row>
    <row r="60" spans="1:18" ht="79.5" customHeight="1">
      <c r="A60" s="42"/>
      <c r="B60" s="78" t="s">
        <v>499</v>
      </c>
      <c r="C60" s="42"/>
      <c r="D60" s="42"/>
      <c r="E60" s="42"/>
      <c r="F60" s="99">
        <v>16691.58</v>
      </c>
      <c r="G60" s="42"/>
      <c r="H60" s="17"/>
      <c r="I60" s="18"/>
      <c r="J60" s="19"/>
      <c r="N60" s="20"/>
      <c r="O60" s="20"/>
      <c r="P60" s="20"/>
      <c r="Q60" s="24"/>
      <c r="R60" s="22"/>
    </row>
    <row r="61" spans="1:18" ht="18.75">
      <c r="A61" s="42"/>
      <c r="B61" s="78" t="s">
        <v>500</v>
      </c>
      <c r="C61" s="42"/>
      <c r="D61" s="42"/>
      <c r="E61" s="42"/>
      <c r="F61" s="99">
        <v>834.09</v>
      </c>
      <c r="G61" s="42"/>
      <c r="H61" s="17"/>
      <c r="I61" s="18"/>
      <c r="J61" s="19"/>
      <c r="N61" s="20"/>
      <c r="O61" s="20"/>
      <c r="P61" s="20"/>
      <c r="Q61" s="24"/>
      <c r="R61" s="22"/>
    </row>
    <row r="62" spans="1:18" ht="56.25">
      <c r="A62" s="42"/>
      <c r="B62" s="14" t="s">
        <v>943</v>
      </c>
      <c r="C62" s="42"/>
      <c r="D62" s="42"/>
      <c r="E62" s="42">
        <v>-8002.55</v>
      </c>
      <c r="F62" s="99">
        <f>E62</f>
        <v>-8002.55</v>
      </c>
      <c r="G62" s="42"/>
      <c r="H62" s="17"/>
      <c r="I62" s="18"/>
      <c r="J62" s="19"/>
      <c r="N62" s="20"/>
      <c r="O62" s="20"/>
      <c r="P62" s="20"/>
      <c r="Q62" s="24"/>
      <c r="R62" s="22"/>
    </row>
    <row r="63" spans="1:24" ht="18.75">
      <c r="A63" s="53"/>
      <c r="B63" s="53" t="s">
        <v>9</v>
      </c>
      <c r="C63" s="42">
        <f>SUM(C13:C36)</f>
        <v>9.01</v>
      </c>
      <c r="D63" s="42">
        <f>SUM(D13:D36)</f>
        <v>9.6</v>
      </c>
      <c r="E63" s="42">
        <f>SUM(E13:E48)+E62</f>
        <v>1292713.6239999998</v>
      </c>
      <c r="F63" s="99">
        <f>F13+F14+F15+F16+F17+F18+F62</f>
        <v>1249746.3439999998</v>
      </c>
      <c r="G63" s="42">
        <f>SUM(G12:G61)</f>
        <v>1341953.2799999998</v>
      </c>
      <c r="H63" s="17"/>
      <c r="I63" s="18"/>
      <c r="J63" s="19"/>
      <c r="N63" s="20"/>
      <c r="Q63" s="24"/>
      <c r="R63" s="22"/>
      <c r="S63" s="22"/>
      <c r="T63" s="22"/>
      <c r="U63" s="22"/>
      <c r="V63" s="22"/>
      <c r="W63" s="22"/>
      <c r="X63" s="22"/>
    </row>
    <row r="64" spans="1:18" ht="18.75">
      <c r="A64" s="33">
        <v>5</v>
      </c>
      <c r="B64" s="54" t="s">
        <v>26</v>
      </c>
      <c r="C64" s="108">
        <v>1.58</v>
      </c>
      <c r="D64" s="108">
        <v>1.85</v>
      </c>
      <c r="E64" s="98">
        <f>H64*I64*6</f>
        <v>239734.362</v>
      </c>
      <c r="F64" s="101">
        <f>E64</f>
        <v>239734.362</v>
      </c>
      <c r="G64" s="101">
        <f>J64*12*H64</f>
        <v>264197.05199999997</v>
      </c>
      <c r="H64" s="69">
        <f>C7</f>
        <v>11648.9</v>
      </c>
      <c r="I64" s="22">
        <f>C64+D64</f>
        <v>3.43</v>
      </c>
      <c r="J64" s="34">
        <v>1.89</v>
      </c>
      <c r="N64" s="20"/>
      <c r="O64" s="20"/>
      <c r="P64" s="20"/>
      <c r="Q64" s="21"/>
      <c r="R64" s="22"/>
    </row>
    <row r="65" spans="1:17" ht="18.75">
      <c r="A65" s="55"/>
      <c r="B65" s="56"/>
      <c r="C65" s="55"/>
      <c r="D65" s="55"/>
      <c r="E65" s="55"/>
      <c r="F65" s="55"/>
      <c r="G65" s="55"/>
      <c r="H65" s="10"/>
      <c r="Q65" s="24"/>
    </row>
    <row r="66" spans="1:17" ht="18.75" customHeight="1">
      <c r="A66" s="179" t="s">
        <v>941</v>
      </c>
      <c r="B66" s="179"/>
      <c r="C66" s="193">
        <v>197366.96</v>
      </c>
      <c r="D66" s="193"/>
      <c r="E66" s="55" t="s">
        <v>18</v>
      </c>
      <c r="F66" s="55"/>
      <c r="G66" s="55"/>
      <c r="H66" s="10"/>
      <c r="Q66" s="24"/>
    </row>
    <row r="67" spans="1:17" ht="18.75" customHeight="1">
      <c r="A67" s="179" t="s">
        <v>942</v>
      </c>
      <c r="B67" s="179"/>
      <c r="C67" s="193">
        <v>247724.55</v>
      </c>
      <c r="D67" s="193"/>
      <c r="E67" s="55" t="s">
        <v>18</v>
      </c>
      <c r="F67" s="55"/>
      <c r="G67" s="55"/>
      <c r="H67" s="10"/>
      <c r="Q67" s="24"/>
    </row>
    <row r="68" spans="1:8" ht="18.75">
      <c r="A68" s="207" t="s">
        <v>17</v>
      </c>
      <c r="B68" s="207"/>
      <c r="C68" s="207"/>
      <c r="D68" s="207"/>
      <c r="E68" s="207"/>
      <c r="F68" s="207"/>
      <c r="G68" s="207"/>
      <c r="H68" s="10"/>
    </row>
    <row r="69" spans="1:8" ht="18.75" customHeight="1" hidden="1">
      <c r="A69" s="206" t="s">
        <v>35</v>
      </c>
      <c r="B69" s="206"/>
      <c r="C69" s="52" t="e">
        <f>C66-#REF!</f>
        <v>#REF!</v>
      </c>
      <c r="D69" s="55" t="s">
        <v>18</v>
      </c>
      <c r="E69" s="55"/>
      <c r="F69" s="55"/>
      <c r="G69" s="55"/>
      <c r="H69" s="10"/>
    </row>
    <row r="70" spans="1:8" ht="18.75" customHeight="1" hidden="1">
      <c r="A70" s="206" t="s">
        <v>36</v>
      </c>
      <c r="B70" s="206"/>
      <c r="C70" s="96">
        <f>E63-F63</f>
        <v>42967.28000000003</v>
      </c>
      <c r="D70" s="96" t="str">
        <f>D69</f>
        <v>рублей</v>
      </c>
      <c r="E70" s="59"/>
      <c r="F70" s="59"/>
      <c r="G70" s="59"/>
      <c r="H70" s="28"/>
    </row>
    <row r="71" spans="1:7" ht="18.75">
      <c r="A71" s="59"/>
      <c r="B71" s="59"/>
      <c r="C71" s="59"/>
      <c r="D71" s="59"/>
      <c r="E71" s="59"/>
      <c r="F71" s="59"/>
      <c r="G71" s="59"/>
    </row>
    <row r="72" spans="1:7" ht="18.75">
      <c r="A72" s="59"/>
      <c r="B72" s="59"/>
      <c r="C72" s="59"/>
      <c r="D72" s="59"/>
      <c r="E72" s="59"/>
      <c r="F72" s="59"/>
      <c r="G72" s="59"/>
    </row>
    <row r="73" spans="1:7" ht="18.75">
      <c r="A73" s="59"/>
      <c r="B73" s="59"/>
      <c r="C73" s="59"/>
      <c r="D73" s="59"/>
      <c r="E73" s="59"/>
      <c r="F73" s="59"/>
      <c r="G73" s="59"/>
    </row>
    <row r="74" spans="1:7" ht="18.75">
      <c r="A74" s="59"/>
      <c r="B74" s="59"/>
      <c r="C74" s="59"/>
      <c r="D74" s="59"/>
      <c r="E74" s="59"/>
      <c r="F74" s="59"/>
      <c r="G74" s="59"/>
    </row>
    <row r="75" spans="1:7" ht="18.75">
      <c r="A75" s="59"/>
      <c r="B75" s="59"/>
      <c r="C75" s="59"/>
      <c r="D75" s="59"/>
      <c r="E75" s="59"/>
      <c r="F75" s="59"/>
      <c r="G75" s="59"/>
    </row>
    <row r="76" spans="1:7" ht="18.75">
      <c r="A76" s="59"/>
      <c r="B76" s="59"/>
      <c r="C76" s="59"/>
      <c r="D76" s="59"/>
      <c r="E76" s="59"/>
      <c r="F76" s="59"/>
      <c r="G76" s="59"/>
    </row>
    <row r="77" spans="1:7" ht="18.75">
      <c r="A77" s="59"/>
      <c r="B77" s="59"/>
      <c r="C77" s="59"/>
      <c r="D77" s="59"/>
      <c r="E77" s="59"/>
      <c r="F77" s="59"/>
      <c r="G77" s="59"/>
    </row>
    <row r="78" spans="1:7" ht="18.75">
      <c r="A78" s="59"/>
      <c r="B78" s="59"/>
      <c r="C78" s="59"/>
      <c r="D78" s="59"/>
      <c r="E78" s="59"/>
      <c r="F78" s="59"/>
      <c r="G78" s="59"/>
    </row>
    <row r="79" spans="1:7" ht="18.75">
      <c r="A79" s="59"/>
      <c r="B79" s="59"/>
      <c r="C79" s="59"/>
      <c r="D79" s="59"/>
      <c r="E79" s="59"/>
      <c r="F79" s="59"/>
      <c r="G79" s="59"/>
    </row>
    <row r="80" spans="1:7" ht="18.75">
      <c r="A80" s="59"/>
      <c r="B80" s="59"/>
      <c r="C80" s="59"/>
      <c r="D80" s="59"/>
      <c r="E80" s="59"/>
      <c r="F80" s="59"/>
      <c r="G80" s="59"/>
    </row>
    <row r="81" spans="1:7" ht="18.75">
      <c r="A81" s="59"/>
      <c r="B81" s="59"/>
      <c r="C81" s="59"/>
      <c r="D81" s="59"/>
      <c r="E81" s="59"/>
      <c r="F81" s="59"/>
      <c r="G81" s="59"/>
    </row>
    <row r="82" spans="1:7" ht="18.75">
      <c r="A82" s="59"/>
      <c r="B82" s="59"/>
      <c r="C82" s="59"/>
      <c r="D82" s="59"/>
      <c r="E82" s="59"/>
      <c r="F82" s="59"/>
      <c r="G82" s="59"/>
    </row>
    <row r="83" spans="1:7" ht="18.75">
      <c r="A83" s="59"/>
      <c r="B83" s="59"/>
      <c r="C83" s="59"/>
      <c r="D83" s="59"/>
      <c r="E83" s="59"/>
      <c r="F83" s="59"/>
      <c r="G83" s="59"/>
    </row>
    <row r="84" spans="1:7" ht="18.75">
      <c r="A84" s="59"/>
      <c r="B84" s="59"/>
      <c r="C84" s="59"/>
      <c r="D84" s="59"/>
      <c r="E84" s="59"/>
      <c r="F84" s="59"/>
      <c r="G84" s="59"/>
    </row>
    <row r="85" spans="1:7" ht="18.75">
      <c r="A85" s="59"/>
      <c r="B85" s="59"/>
      <c r="C85" s="59"/>
      <c r="D85" s="59"/>
      <c r="E85" s="59"/>
      <c r="F85" s="59"/>
      <c r="G85" s="59"/>
    </row>
    <row r="86" spans="1:7" ht="18.75">
      <c r="A86" s="59"/>
      <c r="B86" s="59"/>
      <c r="C86" s="59"/>
      <c r="D86" s="59"/>
      <c r="E86" s="59"/>
      <c r="F86" s="59"/>
      <c r="G86" s="59"/>
    </row>
    <row r="87" spans="1:7" ht="18.75">
      <c r="A87" s="59"/>
      <c r="B87" s="59"/>
      <c r="C87" s="59"/>
      <c r="D87" s="59"/>
      <c r="E87" s="59"/>
      <c r="F87" s="59"/>
      <c r="G87" s="59"/>
    </row>
    <row r="88" spans="1:7" ht="18.75">
      <c r="A88" s="59"/>
      <c r="B88" s="59"/>
      <c r="C88" s="59"/>
      <c r="D88" s="59"/>
      <c r="E88" s="59"/>
      <c r="F88" s="59"/>
      <c r="G88" s="59"/>
    </row>
    <row r="89" spans="1:7" ht="18.75">
      <c r="A89" s="59"/>
      <c r="B89" s="59"/>
      <c r="C89" s="59"/>
      <c r="D89" s="59"/>
      <c r="E89" s="59"/>
      <c r="F89" s="59"/>
      <c r="G89" s="59"/>
    </row>
    <row r="90" spans="1:7" ht="18.75">
      <c r="A90" s="59"/>
      <c r="B90" s="59"/>
      <c r="C90" s="59"/>
      <c r="D90" s="59"/>
      <c r="E90" s="59"/>
      <c r="F90" s="59"/>
      <c r="G90" s="59"/>
    </row>
    <row r="91" spans="1:7" ht="18.75">
      <c r="A91" s="59"/>
      <c r="B91" s="59"/>
      <c r="C91" s="59"/>
      <c r="D91" s="59"/>
      <c r="E91" s="59"/>
      <c r="F91" s="59"/>
      <c r="G91" s="59"/>
    </row>
    <row r="92" spans="1:7" ht="18.75">
      <c r="A92" s="59"/>
      <c r="B92" s="59"/>
      <c r="C92" s="59"/>
      <c r="D92" s="59"/>
      <c r="E92" s="59"/>
      <c r="F92" s="59"/>
      <c r="G92" s="59"/>
    </row>
    <row r="93" spans="1:7" ht="18.75">
      <c r="A93" s="59"/>
      <c r="B93" s="59"/>
      <c r="C93" s="59"/>
      <c r="D93" s="59"/>
      <c r="E93" s="59"/>
      <c r="F93" s="59"/>
      <c r="G93" s="59"/>
    </row>
    <row r="94" spans="1:7" ht="18.75">
      <c r="A94" s="59"/>
      <c r="B94" s="59"/>
      <c r="C94" s="59"/>
      <c r="D94" s="59"/>
      <c r="E94" s="59"/>
      <c r="F94" s="59"/>
      <c r="G94" s="59"/>
    </row>
    <row r="95" spans="1:7" ht="18.75">
      <c r="A95" s="59"/>
      <c r="B95" s="59"/>
      <c r="C95" s="59"/>
      <c r="D95" s="59"/>
      <c r="E95" s="59"/>
      <c r="F95" s="59"/>
      <c r="G95" s="59"/>
    </row>
    <row r="96" spans="1:7" ht="18.75">
      <c r="A96" s="59"/>
      <c r="B96" s="59"/>
      <c r="C96" s="59"/>
      <c r="D96" s="59"/>
      <c r="E96" s="59"/>
      <c r="F96" s="59"/>
      <c r="G96" s="59"/>
    </row>
    <row r="97" spans="1:7" ht="18.75">
      <c r="A97" s="59"/>
      <c r="B97" s="59"/>
      <c r="C97" s="59"/>
      <c r="D97" s="59"/>
      <c r="E97" s="59"/>
      <c r="F97" s="59"/>
      <c r="G97" s="59"/>
    </row>
    <row r="98" spans="1:7" ht="18.75">
      <c r="A98" s="59"/>
      <c r="B98" s="59"/>
      <c r="C98" s="59"/>
      <c r="D98" s="59"/>
      <c r="E98" s="59"/>
      <c r="F98" s="59"/>
      <c r="G98" s="59"/>
    </row>
    <row r="99" spans="1:7" ht="18.75">
      <c r="A99" s="59"/>
      <c r="B99" s="59"/>
      <c r="C99" s="59"/>
      <c r="D99" s="59"/>
      <c r="E99" s="59"/>
      <c r="F99" s="59"/>
      <c r="G99" s="59"/>
    </row>
    <row r="100" spans="1:7" ht="18.75">
      <c r="A100" s="59"/>
      <c r="B100" s="59"/>
      <c r="C100" s="59"/>
      <c r="D100" s="59"/>
      <c r="E100" s="59"/>
      <c r="F100" s="59"/>
      <c r="G100" s="59"/>
    </row>
    <row r="101" spans="1:7" ht="18.75">
      <c r="A101" s="59"/>
      <c r="B101" s="59"/>
      <c r="C101" s="59"/>
      <c r="D101" s="59"/>
      <c r="E101" s="59"/>
      <c r="F101" s="59"/>
      <c r="G101" s="59"/>
    </row>
    <row r="102" spans="1:7" ht="18.75">
      <c r="A102" s="59"/>
      <c r="B102" s="59"/>
      <c r="C102" s="59"/>
      <c r="D102" s="59"/>
      <c r="E102" s="59"/>
      <c r="F102" s="59"/>
      <c r="G102" s="59"/>
    </row>
    <row r="103" spans="1:7" ht="18.75">
      <c r="A103" s="59"/>
      <c r="B103" s="59"/>
      <c r="C103" s="59"/>
      <c r="D103" s="59"/>
      <c r="E103" s="59"/>
      <c r="F103" s="59"/>
      <c r="G103" s="59"/>
    </row>
    <row r="104" spans="1:7" ht="18.75">
      <c r="A104" s="59"/>
      <c r="B104" s="59"/>
      <c r="C104" s="59"/>
      <c r="D104" s="59"/>
      <c r="E104" s="59"/>
      <c r="F104" s="59"/>
      <c r="G104" s="59"/>
    </row>
    <row r="105" spans="1:7" ht="18.75">
      <c r="A105" s="59"/>
      <c r="B105" s="59"/>
      <c r="C105" s="59"/>
      <c r="D105" s="59"/>
      <c r="E105" s="59"/>
      <c r="F105" s="59"/>
      <c r="G105" s="59"/>
    </row>
    <row r="106" spans="1:7" ht="18.75">
      <c r="A106" s="59"/>
      <c r="B106" s="59"/>
      <c r="C106" s="59"/>
      <c r="D106" s="59"/>
      <c r="E106" s="59"/>
      <c r="F106" s="59"/>
      <c r="G106" s="59"/>
    </row>
    <row r="107" spans="1:7" ht="18.75">
      <c r="A107" s="59"/>
      <c r="B107" s="59"/>
      <c r="C107" s="59"/>
      <c r="D107" s="59"/>
      <c r="E107" s="59"/>
      <c r="F107" s="59"/>
      <c r="G107" s="59"/>
    </row>
  </sheetData>
  <sheetProtection/>
  <mergeCells count="18">
    <mergeCell ref="J9:Q12"/>
    <mergeCell ref="A68:G68"/>
    <mergeCell ref="C67:D67"/>
    <mergeCell ref="A1:G2"/>
    <mergeCell ref="A3:G3"/>
    <mergeCell ref="A4:H5"/>
    <mergeCell ref="F9:F11"/>
    <mergeCell ref="G9:G11"/>
    <mergeCell ref="A69:B69"/>
    <mergeCell ref="A70:B70"/>
    <mergeCell ref="A66:B66"/>
    <mergeCell ref="A67:B67"/>
    <mergeCell ref="C66:D66"/>
    <mergeCell ref="R9:X12"/>
    <mergeCell ref="A9:A11"/>
    <mergeCell ref="B9:B11"/>
    <mergeCell ref="C9:D10"/>
    <mergeCell ref="E9:E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9" r:id="rId1"/>
  <rowBreaks count="2" manualBreakCount="2">
    <brk id="34" max="6" man="1"/>
    <brk id="58" max="6" man="1"/>
  </rowBreaks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G43"/>
  <sheetViews>
    <sheetView view="pageBreakPreview" zoomScale="75" zoomScaleSheetLayoutView="75" zoomScalePageLayoutView="0" workbookViewId="0" topLeftCell="A16">
      <selection activeCell="E37" sqref="E37"/>
    </sheetView>
  </sheetViews>
  <sheetFormatPr defaultColWidth="9.00390625" defaultRowHeight="12.75"/>
  <cols>
    <col min="1" max="1" width="9.25390625" style="0" bestFit="1" customWidth="1"/>
    <col min="2" max="2" width="47.375" style="0" customWidth="1"/>
    <col min="3" max="3" width="11.125" style="0" customWidth="1"/>
    <col min="4" max="4" width="14.375" style="0" customWidth="1"/>
    <col min="5" max="5" width="14.875" style="0" customWidth="1"/>
    <col min="6" max="6" width="15.75390625" style="0" bestFit="1" customWidth="1"/>
    <col min="7" max="7" width="13.375" style="0" bestFit="1" customWidth="1"/>
    <col min="8" max="13" width="9.375" style="0" hidden="1" customWidth="1"/>
    <col min="14" max="14" width="10.00390625" style="0" hidden="1" customWidth="1"/>
    <col min="15" max="16" width="9.375" style="0" hidden="1" customWidth="1"/>
    <col min="17" max="17" width="10.00390625" style="0" hidden="1" customWidth="1"/>
    <col min="18" max="21" width="9.25390625" style="0" hidden="1" customWidth="1"/>
    <col min="22" max="26" width="11.00390625" style="0" hidden="1" customWidth="1"/>
    <col min="27" max="30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39.75" customHeight="1">
      <c r="A3" s="182" t="s">
        <v>50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92">
        <v>658.53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201" t="s">
        <v>8</v>
      </c>
      <c r="B9" s="201" t="s">
        <v>6</v>
      </c>
      <c r="C9" s="185" t="s">
        <v>32</v>
      </c>
      <c r="D9" s="204"/>
      <c r="E9" s="189" t="s">
        <v>99</v>
      </c>
      <c r="F9" s="189" t="s">
        <v>74</v>
      </c>
      <c r="G9" s="189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68.25" customHeight="1">
      <c r="A10" s="202"/>
      <c r="B10" s="202"/>
      <c r="C10" s="187"/>
      <c r="D10" s="205"/>
      <c r="E10" s="190"/>
      <c r="F10" s="190"/>
      <c r="G10" s="190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82.5" customHeight="1">
      <c r="A11" s="203"/>
      <c r="B11" s="203"/>
      <c r="C11" s="87" t="s">
        <v>107</v>
      </c>
      <c r="D11" s="87" t="s">
        <v>106</v>
      </c>
      <c r="E11" s="191"/>
      <c r="F11" s="191"/>
      <c r="G11" s="191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13" t="s">
        <v>12</v>
      </c>
      <c r="B12" s="53" t="s">
        <v>20</v>
      </c>
      <c r="C12" s="42"/>
      <c r="D12" s="42"/>
      <c r="E12" s="42"/>
      <c r="F12" s="42"/>
      <c r="G12" s="42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3" ht="18.75">
      <c r="A13" s="15" t="s">
        <v>13</v>
      </c>
      <c r="B13" s="53" t="s">
        <v>10</v>
      </c>
      <c r="C13" s="34">
        <v>1.09</v>
      </c>
      <c r="D13" s="34">
        <v>1.14</v>
      </c>
      <c r="E13" s="32">
        <f aca="true" t="shared" si="0" ref="E13:E18">AE13*AF13*6</f>
        <v>8811.1314</v>
      </c>
      <c r="F13" s="42">
        <f>E13</f>
        <v>8811.1314</v>
      </c>
      <c r="G13" s="42">
        <f aca="true" t="shared" si="1" ref="G13:G18">AE13*AG13*12</f>
        <v>9008.6904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658.53</v>
      </c>
      <c r="K13">
        <v>6</v>
      </c>
      <c r="L13">
        <v>2</v>
      </c>
      <c r="M13">
        <v>4</v>
      </c>
      <c r="N13" s="20">
        <f aca="true" t="shared" si="4" ref="N13:N18">C13*J13*K13</f>
        <v>4306.7862000000005</v>
      </c>
      <c r="O13" s="20" t="e">
        <f>J13*#REF!*L13</f>
        <v>#REF!</v>
      </c>
      <c r="P13" s="20">
        <f aca="true" t="shared" si="5" ref="P13:P18">D13*J13*M13</f>
        <v>3002.8967999999995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4148.739</v>
      </c>
      <c r="W13">
        <f aca="true" t="shared" si="8" ref="W13:W18">U13*S13*J13</f>
        <v>4306.7862000000005</v>
      </c>
      <c r="X13">
        <f aca="true" t="shared" si="9" ref="X13:X18">SUM(V13:W13)</f>
        <v>8455.5252</v>
      </c>
      <c r="AE13">
        <f>C7</f>
        <v>658.53</v>
      </c>
      <c r="AF13" s="22">
        <f aca="true" t="shared" si="10" ref="AF13:AF18">C13+D13</f>
        <v>2.23</v>
      </c>
      <c r="AG13" s="34">
        <v>1.14</v>
      </c>
    </row>
    <row r="14" spans="1:33" ht="37.5">
      <c r="A14" s="15" t="s">
        <v>14</v>
      </c>
      <c r="B14" s="53" t="s">
        <v>15</v>
      </c>
      <c r="C14" s="34">
        <v>1.39</v>
      </c>
      <c r="D14" s="34">
        <v>1.46</v>
      </c>
      <c r="E14" s="32">
        <f t="shared" si="0"/>
        <v>11260.862999999998</v>
      </c>
      <c r="F14" s="42">
        <f>E14</f>
        <v>11260.862999999998</v>
      </c>
      <c r="G14" s="42">
        <f t="shared" si="1"/>
        <v>11537.4456</v>
      </c>
      <c r="H14" s="17">
        <f t="shared" si="2"/>
        <v>1.4594110115189</v>
      </c>
      <c r="I14" s="18">
        <f t="shared" si="3"/>
        <v>1.5572983354607999</v>
      </c>
      <c r="J14" s="19">
        <f>J13</f>
        <v>658.53</v>
      </c>
      <c r="K14">
        <v>6</v>
      </c>
      <c r="L14">
        <v>2</v>
      </c>
      <c r="M14">
        <v>4</v>
      </c>
      <c r="N14" s="20">
        <f t="shared" si="4"/>
        <v>5492.1402</v>
      </c>
      <c r="O14" s="20" t="e">
        <f>J14*#REF!*L14</f>
        <v>#REF!</v>
      </c>
      <c r="P14" s="20">
        <f t="shared" si="5"/>
        <v>3845.8151999999995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5255.0694</v>
      </c>
      <c r="W14">
        <f t="shared" si="8"/>
        <v>5492.1402</v>
      </c>
      <c r="X14">
        <f t="shared" si="9"/>
        <v>10747.2096</v>
      </c>
      <c r="AE14">
        <f>AE13</f>
        <v>658.53</v>
      </c>
      <c r="AF14" s="22">
        <f t="shared" si="10"/>
        <v>2.8499999999999996</v>
      </c>
      <c r="AG14" s="34">
        <v>1.46</v>
      </c>
    </row>
    <row r="15" spans="1:33" ht="18.75">
      <c r="A15" s="15" t="s">
        <v>16</v>
      </c>
      <c r="B15" s="53" t="s">
        <v>7</v>
      </c>
      <c r="C15" s="34"/>
      <c r="D15" s="34"/>
      <c r="E15" s="32"/>
      <c r="F15" s="42"/>
      <c r="G15" s="42"/>
      <c r="H15" s="17">
        <f t="shared" si="2"/>
        <v>0</v>
      </c>
      <c r="I15" s="18">
        <f t="shared" si="3"/>
        <v>0</v>
      </c>
      <c r="J15" s="19">
        <f>J14</f>
        <v>658.53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513.6534</v>
      </c>
      <c r="W15">
        <f t="shared" si="8"/>
        <v>0</v>
      </c>
      <c r="X15">
        <f t="shared" si="9"/>
        <v>513.6534</v>
      </c>
      <c r="AE15">
        <f>AE14</f>
        <v>658.53</v>
      </c>
      <c r="AF15" s="22">
        <f t="shared" si="10"/>
        <v>0</v>
      </c>
      <c r="AG15" s="34">
        <v>0.58</v>
      </c>
    </row>
    <row r="16" spans="1:33" ht="18.75">
      <c r="A16" s="15" t="s">
        <v>21</v>
      </c>
      <c r="B16" s="53" t="s">
        <v>11</v>
      </c>
      <c r="C16" s="34">
        <v>0.82</v>
      </c>
      <c r="D16" s="34">
        <v>0.58</v>
      </c>
      <c r="E16" s="32">
        <f t="shared" si="0"/>
        <v>5531.651999999999</v>
      </c>
      <c r="F16" s="42">
        <f>E16</f>
        <v>5531.651999999999</v>
      </c>
      <c r="G16" s="42">
        <f t="shared" si="1"/>
        <v>6479.9352</v>
      </c>
      <c r="H16" s="17">
        <f t="shared" si="2"/>
        <v>0.8609475031982</v>
      </c>
      <c r="I16" s="18">
        <f t="shared" si="3"/>
        <v>0.9186939820703999</v>
      </c>
      <c r="J16" s="19">
        <f>J15</f>
        <v>658.53</v>
      </c>
      <c r="K16">
        <v>6</v>
      </c>
      <c r="L16">
        <v>2</v>
      </c>
      <c r="M16">
        <v>4</v>
      </c>
      <c r="N16" s="20">
        <f t="shared" si="4"/>
        <v>3239.9676</v>
      </c>
      <c r="O16" s="20" t="e">
        <f>J16*#REF!*L16</f>
        <v>#REF!</v>
      </c>
      <c r="P16" s="20">
        <f t="shared" si="5"/>
        <v>1527.7895999999998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3121.4322</v>
      </c>
      <c r="W16">
        <f t="shared" si="8"/>
        <v>3239.9676</v>
      </c>
      <c r="X16">
        <f t="shared" si="9"/>
        <v>6361.3998</v>
      </c>
      <c r="AE16">
        <f>AE15</f>
        <v>658.53</v>
      </c>
      <c r="AF16" s="22">
        <f t="shared" si="10"/>
        <v>1.4</v>
      </c>
      <c r="AG16" s="34">
        <v>0.82</v>
      </c>
    </row>
    <row r="17" spans="1:33" ht="18.75">
      <c r="A17" s="15" t="s">
        <v>22</v>
      </c>
      <c r="B17" s="53" t="s">
        <v>19</v>
      </c>
      <c r="C17" s="34">
        <v>1.24</v>
      </c>
      <c r="D17" s="34">
        <v>1.24</v>
      </c>
      <c r="E17" s="32">
        <f t="shared" si="0"/>
        <v>9798.9264</v>
      </c>
      <c r="F17" s="42">
        <f>E17</f>
        <v>9798.9264</v>
      </c>
      <c r="G17" s="42">
        <f t="shared" si="1"/>
        <v>9798.9264</v>
      </c>
      <c r="H17" s="17">
        <f t="shared" si="2"/>
        <v>1.3019206145924</v>
      </c>
      <c r="I17" s="18">
        <f t="shared" si="3"/>
        <v>1.3892445582528</v>
      </c>
      <c r="J17" s="19">
        <f>J16</f>
        <v>658.53</v>
      </c>
      <c r="K17">
        <v>6</v>
      </c>
      <c r="L17">
        <v>2</v>
      </c>
      <c r="M17">
        <v>4</v>
      </c>
      <c r="N17" s="20">
        <f t="shared" si="4"/>
        <v>4899.4632</v>
      </c>
      <c r="O17" s="20" t="e">
        <f>J17*#REF!*L17</f>
        <v>#REF!</v>
      </c>
      <c r="P17" s="20">
        <f t="shared" si="5"/>
        <v>3266.3088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4899.4632</v>
      </c>
      <c r="W17">
        <f t="shared" si="8"/>
        <v>4899.463199999999</v>
      </c>
      <c r="X17">
        <f t="shared" si="9"/>
        <v>9798.9264</v>
      </c>
      <c r="AE17">
        <f>AE16</f>
        <v>658.53</v>
      </c>
      <c r="AF17" s="22">
        <f t="shared" si="10"/>
        <v>2.48</v>
      </c>
      <c r="AG17" s="34">
        <v>1.24</v>
      </c>
    </row>
    <row r="18" spans="1:33" ht="75">
      <c r="A18" s="15" t="s">
        <v>23</v>
      </c>
      <c r="B18" s="53" t="s">
        <v>24</v>
      </c>
      <c r="C18" s="34">
        <v>4.47</v>
      </c>
      <c r="D18" s="34">
        <v>5.18</v>
      </c>
      <c r="E18" s="32">
        <f t="shared" si="0"/>
        <v>38128.88699999999</v>
      </c>
      <c r="F18" s="99">
        <f>F20+F22+F24+F26+F28+F30+F32+F34</f>
        <v>9134.16</v>
      </c>
      <c r="G18" s="42">
        <f t="shared" si="1"/>
        <v>40934.224799999996</v>
      </c>
      <c r="H18" s="17">
        <f t="shared" si="2"/>
        <v>4.6932138284097</v>
      </c>
      <c r="I18" s="18">
        <f t="shared" si="3"/>
        <v>5.008002560798399</v>
      </c>
      <c r="J18" s="19">
        <f>J17</f>
        <v>658.53</v>
      </c>
      <c r="K18">
        <v>6</v>
      </c>
      <c r="L18">
        <v>2</v>
      </c>
      <c r="M18">
        <v>4</v>
      </c>
      <c r="N18" s="20">
        <f t="shared" si="4"/>
        <v>17661.774599999997</v>
      </c>
      <c r="O18" s="20" t="e">
        <f>J18*#REF!*L18</f>
        <v>#REF!</v>
      </c>
      <c r="P18" s="20">
        <f t="shared" si="5"/>
        <v>13644.7416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16634.4678</v>
      </c>
      <c r="W18">
        <f t="shared" si="8"/>
        <v>18254.451599999997</v>
      </c>
      <c r="X18">
        <f t="shared" si="9"/>
        <v>34888.9194</v>
      </c>
      <c r="AE18">
        <f>AE17</f>
        <v>658.53</v>
      </c>
      <c r="AF18" s="22">
        <f t="shared" si="10"/>
        <v>9.649999999999999</v>
      </c>
      <c r="AG18" s="34">
        <v>5.18</v>
      </c>
    </row>
    <row r="19" spans="1:33" ht="18.75">
      <c r="A19" s="15"/>
      <c r="B19" s="43" t="s">
        <v>75</v>
      </c>
      <c r="C19" s="34"/>
      <c r="D19" s="34"/>
      <c r="E19" s="32"/>
      <c r="F19" s="100"/>
      <c r="G19" s="42"/>
      <c r="H19" s="17"/>
      <c r="I19" s="18"/>
      <c r="J19" s="19"/>
      <c r="N19" s="20"/>
      <c r="O19" s="20"/>
      <c r="P19" s="20"/>
      <c r="Q19" s="21"/>
      <c r="R19" s="22"/>
      <c r="S19" s="22"/>
      <c r="AF19" s="22"/>
      <c r="AG19" s="7"/>
    </row>
    <row r="20" spans="1:33" ht="56.25">
      <c r="A20" s="15"/>
      <c r="B20" s="144" t="s">
        <v>501</v>
      </c>
      <c r="C20" s="34"/>
      <c r="D20" s="34"/>
      <c r="E20" s="32"/>
      <c r="F20" s="100">
        <v>2159.75</v>
      </c>
      <c r="G20" s="42"/>
      <c r="H20" s="17"/>
      <c r="I20" s="18"/>
      <c r="J20" s="19"/>
      <c r="N20" s="20"/>
      <c r="O20" s="20"/>
      <c r="P20" s="20"/>
      <c r="Q20" s="21"/>
      <c r="R20" s="22"/>
      <c r="S20" s="22"/>
      <c r="AF20" s="22"/>
      <c r="AG20" s="7"/>
    </row>
    <row r="21" spans="1:33" ht="18.75">
      <c r="A21" s="15"/>
      <c r="B21" s="43" t="s">
        <v>90</v>
      </c>
      <c r="C21" s="34"/>
      <c r="D21" s="34"/>
      <c r="E21" s="32"/>
      <c r="F21" s="100"/>
      <c r="G21" s="42"/>
      <c r="H21" s="17"/>
      <c r="I21" s="18"/>
      <c r="J21" s="19"/>
      <c r="N21" s="20"/>
      <c r="O21" s="20"/>
      <c r="P21" s="20"/>
      <c r="Q21" s="21"/>
      <c r="R21" s="22"/>
      <c r="S21" s="22"/>
      <c r="AF21" s="22"/>
      <c r="AG21" s="7"/>
    </row>
    <row r="22" spans="1:33" ht="37.5">
      <c r="A22" s="15"/>
      <c r="B22" s="144" t="s">
        <v>502</v>
      </c>
      <c r="C22" s="34"/>
      <c r="D22" s="34"/>
      <c r="E22" s="32"/>
      <c r="F22" s="100">
        <v>1852.36</v>
      </c>
      <c r="G22" s="42"/>
      <c r="H22" s="17"/>
      <c r="I22" s="18"/>
      <c r="J22" s="19"/>
      <c r="N22" s="20"/>
      <c r="O22" s="20"/>
      <c r="P22" s="20"/>
      <c r="Q22" s="21"/>
      <c r="R22" s="22"/>
      <c r="S22" s="22"/>
      <c r="AF22" s="22"/>
      <c r="AG22" s="7"/>
    </row>
    <row r="23" spans="1:33" ht="18.75">
      <c r="A23" s="15"/>
      <c r="B23" s="43" t="s">
        <v>91</v>
      </c>
      <c r="C23" s="34"/>
      <c r="D23" s="34"/>
      <c r="E23" s="32"/>
      <c r="F23" s="100"/>
      <c r="G23" s="42"/>
      <c r="H23" s="17"/>
      <c r="I23" s="18"/>
      <c r="J23" s="19"/>
      <c r="N23" s="20"/>
      <c r="O23" s="20"/>
      <c r="P23" s="20"/>
      <c r="Q23" s="21"/>
      <c r="R23" s="22"/>
      <c r="S23" s="22"/>
      <c r="AF23" s="22"/>
      <c r="AG23" s="7"/>
    </row>
    <row r="24" spans="1:33" ht="18.75">
      <c r="A24" s="15"/>
      <c r="B24" s="144" t="s">
        <v>503</v>
      </c>
      <c r="C24" s="34"/>
      <c r="D24" s="34"/>
      <c r="E24" s="32"/>
      <c r="F24" s="100">
        <v>124.58</v>
      </c>
      <c r="G24" s="42"/>
      <c r="H24" s="17"/>
      <c r="I24" s="18"/>
      <c r="J24" s="19"/>
      <c r="N24" s="20"/>
      <c r="O24" s="20"/>
      <c r="P24" s="20"/>
      <c r="Q24" s="21"/>
      <c r="R24" s="22"/>
      <c r="S24" s="22"/>
      <c r="AF24" s="22"/>
      <c r="AG24" s="7"/>
    </row>
    <row r="25" spans="1:19" ht="18.75">
      <c r="A25" s="15"/>
      <c r="B25" s="43" t="s">
        <v>504</v>
      </c>
      <c r="C25" s="42"/>
      <c r="D25" s="42"/>
      <c r="E25" s="42"/>
      <c r="F25" s="100"/>
      <c r="G25" s="42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18.75">
      <c r="A26" s="15"/>
      <c r="B26" s="53" t="s">
        <v>505</v>
      </c>
      <c r="C26" s="42"/>
      <c r="D26" s="42"/>
      <c r="E26" s="42"/>
      <c r="F26" s="100">
        <v>62.29</v>
      </c>
      <c r="G26" s="42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15"/>
      <c r="B27" s="42" t="s">
        <v>98</v>
      </c>
      <c r="C27" s="42"/>
      <c r="D27" s="42"/>
      <c r="E27" s="42"/>
      <c r="F27" s="100"/>
      <c r="G27" s="42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15"/>
      <c r="B28" s="53" t="s">
        <v>506</v>
      </c>
      <c r="C28" s="42"/>
      <c r="D28" s="42"/>
      <c r="E28" s="42"/>
      <c r="F28" s="100">
        <v>62.29</v>
      </c>
      <c r="G28" s="42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15"/>
      <c r="B29" s="42" t="s">
        <v>95</v>
      </c>
      <c r="C29" s="42"/>
      <c r="D29" s="42"/>
      <c r="E29" s="42"/>
      <c r="F29" s="100"/>
      <c r="G29" s="42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18.75">
      <c r="A30" s="15"/>
      <c r="B30" s="53" t="s">
        <v>507</v>
      </c>
      <c r="C30" s="42"/>
      <c r="D30" s="42"/>
      <c r="E30" s="42"/>
      <c r="F30" s="100">
        <v>747.48</v>
      </c>
      <c r="G30" s="42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15"/>
      <c r="B31" s="42" t="s">
        <v>96</v>
      </c>
      <c r="C31" s="42"/>
      <c r="D31" s="42"/>
      <c r="E31" s="42"/>
      <c r="F31" s="100"/>
      <c r="G31" s="42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37.5">
      <c r="A32" s="15"/>
      <c r="B32" s="53" t="s">
        <v>508</v>
      </c>
      <c r="C32" s="42"/>
      <c r="D32" s="42"/>
      <c r="E32" s="42"/>
      <c r="F32" s="100">
        <v>1375.88</v>
      </c>
      <c r="G32" s="42"/>
      <c r="H32" s="17"/>
      <c r="I32" s="18"/>
      <c r="J32" s="19"/>
      <c r="N32" s="20"/>
      <c r="O32" s="20"/>
      <c r="P32" s="20"/>
      <c r="Q32" s="21"/>
      <c r="R32" s="22"/>
      <c r="S32" s="22"/>
    </row>
    <row r="33" spans="1:19" ht="18.75">
      <c r="A33" s="15"/>
      <c r="B33" s="42" t="s">
        <v>97</v>
      </c>
      <c r="C33" s="42"/>
      <c r="D33" s="42"/>
      <c r="E33" s="42"/>
      <c r="F33" s="100"/>
      <c r="G33" s="42"/>
      <c r="H33" s="17"/>
      <c r="I33" s="18"/>
      <c r="J33" s="19"/>
      <c r="N33" s="20"/>
      <c r="O33" s="20"/>
      <c r="P33" s="20"/>
      <c r="Q33" s="21"/>
      <c r="R33" s="22"/>
      <c r="S33" s="22"/>
    </row>
    <row r="34" spans="1:19" ht="18.75">
      <c r="A34" s="15"/>
      <c r="B34" s="53" t="s">
        <v>509</v>
      </c>
      <c r="C34" s="42"/>
      <c r="D34" s="42"/>
      <c r="E34" s="42"/>
      <c r="F34" s="100">
        <v>2749.53</v>
      </c>
      <c r="G34" s="42"/>
      <c r="H34" s="17"/>
      <c r="I34" s="18"/>
      <c r="J34" s="19"/>
      <c r="N34" s="20"/>
      <c r="O34" s="20"/>
      <c r="P34" s="20"/>
      <c r="Q34" s="21"/>
      <c r="R34" s="22"/>
      <c r="S34" s="22"/>
    </row>
    <row r="35" spans="1:19" ht="63" customHeight="1">
      <c r="A35" s="15"/>
      <c r="B35" s="14" t="s">
        <v>943</v>
      </c>
      <c r="C35" s="42"/>
      <c r="D35" s="42"/>
      <c r="E35" s="42"/>
      <c r="F35" s="100"/>
      <c r="G35" s="42"/>
      <c r="H35" s="17"/>
      <c r="I35" s="18"/>
      <c r="J35" s="19"/>
      <c r="N35" s="20"/>
      <c r="O35" s="20"/>
      <c r="P35" s="20"/>
      <c r="Q35" s="21"/>
      <c r="R35" s="22"/>
      <c r="S35" s="22"/>
    </row>
    <row r="36" spans="1:24" ht="18.75">
      <c r="A36" s="12"/>
      <c r="B36" s="53" t="s">
        <v>9</v>
      </c>
      <c r="C36" s="42">
        <f>SUM(C13:C26)</f>
        <v>9.01</v>
      </c>
      <c r="D36" s="42">
        <f>SUM(D13:D26)</f>
        <v>9.6</v>
      </c>
      <c r="E36" s="42">
        <f>SUM(E13:E26)-0.04</f>
        <v>73531.41979999999</v>
      </c>
      <c r="F36" s="99">
        <f>F13+F14+F15+F16+F17+F18</f>
        <v>44536.7328</v>
      </c>
      <c r="G36" s="42">
        <f>SUM(G12:G34)</f>
        <v>77759.2224</v>
      </c>
      <c r="H36" s="17">
        <f>1.04993597951*C36</f>
        <v>9.4599231753851</v>
      </c>
      <c r="I36" s="18">
        <f>1.12035851472*C36</f>
        <v>10.094430217627199</v>
      </c>
      <c r="J36" s="19">
        <f>J18</f>
        <v>658.53</v>
      </c>
      <c r="N36" s="20"/>
      <c r="Q36" s="24"/>
      <c r="R36" s="22">
        <f>SUM(R13:R26)</f>
        <v>8.75</v>
      </c>
      <c r="S36" s="22">
        <f>SUM(S13:S26)</f>
        <v>9.16</v>
      </c>
      <c r="T36" s="22"/>
      <c r="U36" s="22"/>
      <c r="V36" s="22">
        <f>SUM(V13:V26)</f>
        <v>34572.825</v>
      </c>
      <c r="W36" s="22">
        <f>SUM(W13:W26)</f>
        <v>36192.8088</v>
      </c>
      <c r="X36" s="22">
        <f>SUM(X13:X26)</f>
        <v>70765.6338</v>
      </c>
    </row>
    <row r="37" spans="1:33" ht="18.75">
      <c r="A37" s="13">
        <v>5</v>
      </c>
      <c r="B37" s="54" t="s">
        <v>26</v>
      </c>
      <c r="C37" s="108">
        <v>1.58</v>
      </c>
      <c r="D37" s="108">
        <v>1.85</v>
      </c>
      <c r="E37" s="98">
        <f>AF37*6*AE37</f>
        <v>13552.547400000001</v>
      </c>
      <c r="F37" s="101">
        <f>E37</f>
        <v>13552.547400000001</v>
      </c>
      <c r="G37" s="101">
        <f>AG37*12*AE37</f>
        <v>14935.4604</v>
      </c>
      <c r="H37" s="69" t="e">
        <f>#REF!</f>
        <v>#REF!</v>
      </c>
      <c r="I37" s="22">
        <f>C37+D37</f>
        <v>3.43</v>
      </c>
      <c r="J37" s="34">
        <v>3.43</v>
      </c>
      <c r="K37">
        <v>10</v>
      </c>
      <c r="L37">
        <v>2</v>
      </c>
      <c r="N37" s="20">
        <f>C37*J37*K37</f>
        <v>54.194</v>
      </c>
      <c r="O37" s="20" t="e">
        <f>#REF!*J37*L37</f>
        <v>#REF!</v>
      </c>
      <c r="P37" s="20" t="e">
        <f>SUM(N37:O37)</f>
        <v>#REF!</v>
      </c>
      <c r="Q37" s="21"/>
      <c r="R37" s="22">
        <v>1.47</v>
      </c>
      <c r="S37">
        <v>1.58</v>
      </c>
      <c r="T37">
        <v>6</v>
      </c>
      <c r="U37">
        <v>6</v>
      </c>
      <c r="V37">
        <f>R37*J37*T37</f>
        <v>30.2526</v>
      </c>
      <c r="W37">
        <f>S37*U37*J37</f>
        <v>32.516400000000004</v>
      </c>
      <c r="X37">
        <f>SUM(V37:W37)</f>
        <v>62.769000000000005</v>
      </c>
      <c r="AE37" s="69">
        <f>AE18</f>
        <v>658.53</v>
      </c>
      <c r="AF37" s="22">
        <v>3.43</v>
      </c>
      <c r="AG37" s="34">
        <v>1.89</v>
      </c>
    </row>
    <row r="38" spans="1:17" ht="18.75">
      <c r="A38" s="10"/>
      <c r="B38" s="26"/>
      <c r="C38" s="10"/>
      <c r="D38" s="10"/>
      <c r="E38" s="10"/>
      <c r="F38" s="10"/>
      <c r="G38" s="10"/>
      <c r="H38" s="10"/>
      <c r="Q38" s="24"/>
    </row>
    <row r="39" spans="1:17" ht="18.75">
      <c r="A39" s="179" t="s">
        <v>941</v>
      </c>
      <c r="B39" s="179"/>
      <c r="C39" s="183">
        <v>9448.44</v>
      </c>
      <c r="D39" s="183"/>
      <c r="E39" s="6" t="s">
        <v>18</v>
      </c>
      <c r="F39" s="10"/>
      <c r="G39" s="10"/>
      <c r="H39" s="10"/>
      <c r="Q39" s="24"/>
    </row>
    <row r="40" spans="1:17" ht="18.75">
      <c r="A40" s="179" t="s">
        <v>942</v>
      </c>
      <c r="B40" s="179"/>
      <c r="C40" s="183">
        <v>6973.84</v>
      </c>
      <c r="D40" s="183"/>
      <c r="E40" s="6" t="s">
        <v>18</v>
      </c>
      <c r="F40" s="10"/>
      <c r="G40" s="10"/>
      <c r="H40" s="10"/>
      <c r="Q40" s="24"/>
    </row>
    <row r="41" spans="1:8" ht="18.75">
      <c r="A41" s="180" t="s">
        <v>17</v>
      </c>
      <c r="B41" s="180"/>
      <c r="C41" s="180"/>
      <c r="D41" s="180"/>
      <c r="E41" s="180"/>
      <c r="F41" s="180"/>
      <c r="G41" s="180"/>
      <c r="H41" s="10"/>
    </row>
    <row r="42" spans="1:8" ht="18.75" customHeight="1" hidden="1">
      <c r="A42" s="181" t="s">
        <v>35</v>
      </c>
      <c r="B42" s="181"/>
      <c r="C42" s="5" t="e">
        <f>C39-#REF!</f>
        <v>#REF!</v>
      </c>
      <c r="D42" s="10" t="s">
        <v>18</v>
      </c>
      <c r="E42" s="10"/>
      <c r="F42" s="10"/>
      <c r="G42" s="10"/>
      <c r="H42" s="10"/>
    </row>
    <row r="43" spans="1:8" ht="18.75" customHeight="1" hidden="1">
      <c r="A43" s="181" t="s">
        <v>36</v>
      </c>
      <c r="B43" s="181"/>
      <c r="C43" s="85">
        <f>E36-F36</f>
        <v>28994.68699999999</v>
      </c>
      <c r="D43" s="84" t="str">
        <f>D42</f>
        <v>рублей</v>
      </c>
      <c r="H43" s="28"/>
    </row>
  </sheetData>
  <sheetProtection/>
  <mergeCells count="18">
    <mergeCell ref="A1:G2"/>
    <mergeCell ref="A3:G3"/>
    <mergeCell ref="A4:H5"/>
    <mergeCell ref="F9:F11"/>
    <mergeCell ref="G9:G11"/>
    <mergeCell ref="J9:Q12"/>
    <mergeCell ref="R9:X12"/>
    <mergeCell ref="A9:A11"/>
    <mergeCell ref="B9:B11"/>
    <mergeCell ref="C9:D10"/>
    <mergeCell ref="E9:E11"/>
    <mergeCell ref="C39:D39"/>
    <mergeCell ref="C40:D40"/>
    <mergeCell ref="A41:G41"/>
    <mergeCell ref="A42:B42"/>
    <mergeCell ref="A43:B43"/>
    <mergeCell ref="A39:B39"/>
    <mergeCell ref="A40:B4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R59"/>
  <sheetViews>
    <sheetView view="pageBreakPreview" zoomScale="75" zoomScaleSheetLayoutView="75" zoomScalePageLayoutView="0" workbookViewId="0" topLeftCell="A37">
      <selection activeCell="F53" sqref="F53"/>
    </sheetView>
  </sheetViews>
  <sheetFormatPr defaultColWidth="9.00390625" defaultRowHeight="12.75"/>
  <cols>
    <col min="1" max="1" width="9.25390625" style="0" bestFit="1" customWidth="1"/>
    <col min="2" max="2" width="47.25390625" style="0" customWidth="1"/>
    <col min="3" max="3" width="10.25390625" style="0" customWidth="1"/>
    <col min="4" max="4" width="12.375" style="0" customWidth="1"/>
    <col min="5" max="5" width="14.625" style="0" customWidth="1"/>
    <col min="6" max="6" width="15.75390625" style="0" bestFit="1" customWidth="1"/>
    <col min="7" max="7" width="13.375" style="0" bestFit="1" customWidth="1"/>
    <col min="8" max="41" width="0" style="0" hidden="1" customWidth="1"/>
  </cols>
  <sheetData>
    <row r="1" spans="1:7" ht="12.75">
      <c r="A1" s="179" t="s">
        <v>25</v>
      </c>
      <c r="B1" s="179"/>
      <c r="C1" s="179"/>
      <c r="D1" s="179"/>
      <c r="E1" s="179"/>
      <c r="F1" s="179"/>
      <c r="G1" s="179"/>
    </row>
    <row r="2" spans="1:7" ht="12.75">
      <c r="A2" s="179"/>
      <c r="B2" s="179"/>
      <c r="C2" s="179"/>
      <c r="D2" s="179"/>
      <c r="E2" s="179"/>
      <c r="F2" s="179"/>
      <c r="G2" s="179"/>
    </row>
    <row r="3" spans="1:7" ht="43.5" customHeight="1">
      <c r="A3" s="182" t="s">
        <v>51</v>
      </c>
      <c r="B3" s="182"/>
      <c r="C3" s="182"/>
      <c r="D3" s="182"/>
      <c r="E3" s="182"/>
      <c r="F3" s="182"/>
      <c r="G3" s="182"/>
    </row>
    <row r="4" spans="1:7" ht="12.75">
      <c r="A4" s="179" t="s">
        <v>110</v>
      </c>
      <c r="B4" s="179"/>
      <c r="C4" s="179"/>
      <c r="D4" s="179"/>
      <c r="E4" s="179"/>
      <c r="F4" s="179"/>
      <c r="G4" s="179"/>
    </row>
    <row r="5" spans="1:7" ht="12.75">
      <c r="A5" s="179"/>
      <c r="B5" s="179"/>
      <c r="C5" s="179"/>
      <c r="D5" s="179"/>
      <c r="E5" s="179"/>
      <c r="F5" s="179"/>
      <c r="G5" s="179"/>
    </row>
    <row r="6" spans="1:7" ht="18.75">
      <c r="A6" s="5"/>
      <c r="B6" s="5"/>
      <c r="C6" s="5"/>
      <c r="D6" s="5"/>
      <c r="E6" s="5"/>
      <c r="F6" s="5"/>
      <c r="G6" s="5"/>
    </row>
    <row r="7" spans="1:7" ht="22.5">
      <c r="A7" s="8"/>
      <c r="B7" s="9" t="s">
        <v>5</v>
      </c>
      <c r="C7" s="92">
        <v>2585.9</v>
      </c>
      <c r="D7" s="5" t="s">
        <v>31</v>
      </c>
      <c r="E7" s="10"/>
      <c r="F7" s="10"/>
      <c r="G7" s="10"/>
    </row>
    <row r="8" spans="1:7" ht="18.75">
      <c r="A8" s="8"/>
      <c r="B8" s="5"/>
      <c r="C8" s="5"/>
      <c r="D8" s="5"/>
      <c r="E8" s="5"/>
      <c r="F8" s="5"/>
      <c r="G8" s="5"/>
    </row>
    <row r="9" spans="1:7" ht="18.75" customHeight="1">
      <c r="A9" s="201" t="s">
        <v>8</v>
      </c>
      <c r="B9" s="201" t="s">
        <v>6</v>
      </c>
      <c r="C9" s="185" t="s">
        <v>32</v>
      </c>
      <c r="D9" s="204"/>
      <c r="E9" s="189" t="s">
        <v>99</v>
      </c>
      <c r="F9" s="189" t="s">
        <v>74</v>
      </c>
      <c r="G9" s="189" t="s">
        <v>218</v>
      </c>
    </row>
    <row r="10" spans="1:7" ht="60.75" customHeight="1">
      <c r="A10" s="202"/>
      <c r="B10" s="202"/>
      <c r="C10" s="187"/>
      <c r="D10" s="205"/>
      <c r="E10" s="190"/>
      <c r="F10" s="190"/>
      <c r="G10" s="190"/>
    </row>
    <row r="11" spans="1:7" ht="108.75" customHeight="1">
      <c r="A11" s="203"/>
      <c r="B11" s="203"/>
      <c r="C11" s="87" t="s">
        <v>107</v>
      </c>
      <c r="D11" s="87" t="s">
        <v>106</v>
      </c>
      <c r="E11" s="191"/>
      <c r="F11" s="191"/>
      <c r="G11" s="191"/>
    </row>
    <row r="12" spans="1:7" ht="56.25">
      <c r="A12" s="13" t="s">
        <v>12</v>
      </c>
      <c r="B12" s="14" t="s">
        <v>20</v>
      </c>
      <c r="C12" s="13"/>
      <c r="D12" s="13"/>
      <c r="E12" s="13"/>
      <c r="F12" s="13"/>
      <c r="G12" s="13"/>
    </row>
    <row r="13" spans="1:44" ht="18.75">
      <c r="A13" s="15" t="s">
        <v>13</v>
      </c>
      <c r="B13" s="14" t="s">
        <v>10</v>
      </c>
      <c r="C13" s="34">
        <v>1.09</v>
      </c>
      <c r="D13" s="34">
        <v>1.14</v>
      </c>
      <c r="E13" s="32">
        <f aca="true" t="shared" si="0" ref="E13:E18">H13*I13*6</f>
        <v>34599.342</v>
      </c>
      <c r="F13" s="32">
        <f>E13</f>
        <v>34599.342</v>
      </c>
      <c r="G13" s="32">
        <f>AQ13*AR13*12</f>
        <v>35375.112</v>
      </c>
      <c r="H13">
        <f>C7</f>
        <v>2585.9</v>
      </c>
      <c r="I13" s="22">
        <f aca="true" t="shared" si="1" ref="I13:I18">C13+D13</f>
        <v>2.23</v>
      </c>
      <c r="J13" s="34">
        <v>1.13</v>
      </c>
      <c r="AQ13">
        <v>2585.9</v>
      </c>
      <c r="AR13">
        <v>1.14</v>
      </c>
    </row>
    <row r="14" spans="1:44" ht="37.5">
      <c r="A14" s="15" t="s">
        <v>14</v>
      </c>
      <c r="B14" s="14" t="s">
        <v>15</v>
      </c>
      <c r="C14" s="34">
        <v>1.39</v>
      </c>
      <c r="D14" s="34">
        <v>1.46</v>
      </c>
      <c r="E14" s="32">
        <f t="shared" si="0"/>
        <v>44218.89</v>
      </c>
      <c r="F14" s="32">
        <f>E14</f>
        <v>44218.89</v>
      </c>
      <c r="G14" s="32">
        <f>AQ14*AR14*12</f>
        <v>45304.968</v>
      </c>
      <c r="H14">
        <f>H13</f>
        <v>2585.9</v>
      </c>
      <c r="I14" s="22">
        <f t="shared" si="1"/>
        <v>2.8499999999999996</v>
      </c>
      <c r="J14" s="34">
        <v>1.45</v>
      </c>
      <c r="AQ14">
        <v>2585.9</v>
      </c>
      <c r="AR14">
        <v>1.46</v>
      </c>
    </row>
    <row r="15" spans="1:44" ht="18.75">
      <c r="A15" s="15" t="s">
        <v>16</v>
      </c>
      <c r="B15" s="14" t="s">
        <v>7</v>
      </c>
      <c r="C15" s="34"/>
      <c r="D15" s="34"/>
      <c r="E15" s="32"/>
      <c r="F15" s="32"/>
      <c r="G15" s="32"/>
      <c r="H15">
        <f>H14</f>
        <v>2585.9</v>
      </c>
      <c r="I15" s="22">
        <f t="shared" si="1"/>
        <v>0</v>
      </c>
      <c r="J15" s="34">
        <v>0</v>
      </c>
      <c r="AR15">
        <v>0</v>
      </c>
    </row>
    <row r="16" spans="1:44" ht="18.75">
      <c r="A16" s="15" t="s">
        <v>21</v>
      </c>
      <c r="B16" s="14" t="s">
        <v>11</v>
      </c>
      <c r="C16" s="34">
        <v>0.82</v>
      </c>
      <c r="D16" s="34">
        <v>0.58</v>
      </c>
      <c r="E16" s="32">
        <f t="shared" si="0"/>
        <v>21721.559999999998</v>
      </c>
      <c r="F16" s="32">
        <f>E16</f>
        <v>21721.559999999998</v>
      </c>
      <c r="G16" s="32">
        <f>AQ16*AR16*12</f>
        <v>17997.863999999998</v>
      </c>
      <c r="H16">
        <f>H15</f>
        <v>2585.9</v>
      </c>
      <c r="I16" s="22">
        <f t="shared" si="1"/>
        <v>1.4</v>
      </c>
      <c r="J16" s="34">
        <v>0.82</v>
      </c>
      <c r="AQ16">
        <v>2585.9</v>
      </c>
      <c r="AR16">
        <v>0.58</v>
      </c>
    </row>
    <row r="17" spans="1:44" ht="18.75">
      <c r="A17" s="15" t="s">
        <v>22</v>
      </c>
      <c r="B17" s="14" t="s">
        <v>19</v>
      </c>
      <c r="C17" s="34">
        <v>1.24</v>
      </c>
      <c r="D17" s="34">
        <v>1.24</v>
      </c>
      <c r="E17" s="32">
        <f t="shared" si="0"/>
        <v>38478.192</v>
      </c>
      <c r="F17" s="32">
        <f>E17</f>
        <v>38478.192</v>
      </c>
      <c r="G17" s="32">
        <f>AQ17*AR17*12</f>
        <v>38478.192</v>
      </c>
      <c r="H17">
        <f>H16</f>
        <v>2585.9</v>
      </c>
      <c r="I17" s="22">
        <f t="shared" si="1"/>
        <v>2.48</v>
      </c>
      <c r="J17" s="34">
        <v>1.24</v>
      </c>
      <c r="AQ17">
        <v>2585.9</v>
      </c>
      <c r="AR17">
        <v>1.24</v>
      </c>
    </row>
    <row r="18" spans="1:44" ht="75">
      <c r="A18" s="15" t="s">
        <v>23</v>
      </c>
      <c r="B18" s="53" t="s">
        <v>24</v>
      </c>
      <c r="C18" s="34">
        <v>4.47</v>
      </c>
      <c r="D18" s="34">
        <v>5.18</v>
      </c>
      <c r="E18" s="32">
        <f t="shared" si="0"/>
        <v>149723.61</v>
      </c>
      <c r="F18" s="115">
        <f>F20+F21+F23+F25+F27+F28+F30+F32+F33+F35+F36+F38+F39+F41+F42+F44+F46+F47+F49+F50</f>
        <v>122944.24</v>
      </c>
      <c r="G18" s="32">
        <f>AQ18*AR18*12</f>
        <v>160739.544</v>
      </c>
      <c r="H18">
        <f>H17</f>
        <v>2585.9</v>
      </c>
      <c r="I18" s="22">
        <f t="shared" si="1"/>
        <v>9.649999999999999</v>
      </c>
      <c r="J18" s="34">
        <v>4.74</v>
      </c>
      <c r="AQ18">
        <v>2585.9</v>
      </c>
      <c r="AR18">
        <v>5.18</v>
      </c>
    </row>
    <row r="19" spans="1:7" ht="18.75">
      <c r="A19" s="15"/>
      <c r="B19" s="42" t="s">
        <v>75</v>
      </c>
      <c r="C19" s="32"/>
      <c r="D19" s="32"/>
      <c r="E19" s="32"/>
      <c r="F19" s="115"/>
      <c r="G19" s="32"/>
    </row>
    <row r="20" spans="1:7" ht="93.75">
      <c r="A20" s="15"/>
      <c r="B20" s="53" t="s">
        <v>787</v>
      </c>
      <c r="C20" s="32"/>
      <c r="D20" s="32"/>
      <c r="E20" s="32"/>
      <c r="F20" s="115">
        <v>7897.58</v>
      </c>
      <c r="G20" s="32"/>
    </row>
    <row r="21" spans="1:7" ht="18.75">
      <c r="A21" s="15"/>
      <c r="B21" s="53" t="s">
        <v>270</v>
      </c>
      <c r="C21" s="32"/>
      <c r="D21" s="32"/>
      <c r="E21" s="32"/>
      <c r="F21" s="115">
        <v>1520.18</v>
      </c>
      <c r="G21" s="32"/>
    </row>
    <row r="22" spans="1:7" ht="18.75">
      <c r="A22" s="15"/>
      <c r="B22" s="42" t="s">
        <v>88</v>
      </c>
      <c r="C22" s="32"/>
      <c r="D22" s="32"/>
      <c r="E22" s="32"/>
      <c r="F22" s="115"/>
      <c r="G22" s="32"/>
    </row>
    <row r="23" spans="1:7" ht="112.5">
      <c r="A23" s="15"/>
      <c r="B23" s="53" t="s">
        <v>788</v>
      </c>
      <c r="C23" s="32"/>
      <c r="D23" s="32"/>
      <c r="E23" s="32"/>
      <c r="F23" s="115">
        <v>15182.38</v>
      </c>
      <c r="G23" s="32"/>
    </row>
    <row r="24" spans="1:7" ht="18.75">
      <c r="A24" s="15"/>
      <c r="B24" s="42" t="s">
        <v>89</v>
      </c>
      <c r="C24" s="32"/>
      <c r="D24" s="32"/>
      <c r="E24" s="32"/>
      <c r="F24" s="115" t="s">
        <v>76</v>
      </c>
      <c r="G24" s="32"/>
    </row>
    <row r="25" spans="1:7" ht="56.25">
      <c r="A25" s="15"/>
      <c r="B25" s="42" t="s">
        <v>936</v>
      </c>
      <c r="C25" s="32"/>
      <c r="D25" s="32"/>
      <c r="E25" s="32"/>
      <c r="F25" s="115">
        <v>16729.77</v>
      </c>
      <c r="G25" s="32"/>
    </row>
    <row r="26" spans="1:7" ht="18.75">
      <c r="A26" s="15"/>
      <c r="B26" s="42" t="s">
        <v>90</v>
      </c>
      <c r="C26" s="32"/>
      <c r="D26" s="32"/>
      <c r="E26" s="32"/>
      <c r="F26" s="115" t="s">
        <v>105</v>
      </c>
      <c r="G26" s="32"/>
    </row>
    <row r="27" spans="1:7" ht="56.25">
      <c r="A27" s="15"/>
      <c r="B27" s="42" t="s">
        <v>789</v>
      </c>
      <c r="C27" s="32"/>
      <c r="D27" s="32"/>
      <c r="E27" s="32"/>
      <c r="F27" s="115">
        <v>3828.6</v>
      </c>
      <c r="G27" s="32"/>
    </row>
    <row r="28" spans="1:7" ht="18.75">
      <c r="A28" s="15"/>
      <c r="B28" s="42" t="s">
        <v>30</v>
      </c>
      <c r="C28" s="32"/>
      <c r="D28" s="32"/>
      <c r="E28" s="32"/>
      <c r="F28" s="115">
        <v>1710.45</v>
      </c>
      <c r="G28" s="32"/>
    </row>
    <row r="29" spans="1:7" ht="18.75">
      <c r="A29" s="15"/>
      <c r="B29" s="42" t="s">
        <v>91</v>
      </c>
      <c r="C29" s="32"/>
      <c r="D29" s="32"/>
      <c r="E29" s="32"/>
      <c r="F29" s="115" t="s">
        <v>77</v>
      </c>
      <c r="G29" s="32"/>
    </row>
    <row r="30" spans="1:7" ht="18.75">
      <c r="A30" s="15"/>
      <c r="B30" s="53" t="s">
        <v>790</v>
      </c>
      <c r="C30" s="32"/>
      <c r="D30" s="32"/>
      <c r="E30" s="32"/>
      <c r="F30" s="115">
        <v>8742.81</v>
      </c>
      <c r="G30" s="32"/>
    </row>
    <row r="31" spans="1:7" ht="18.75">
      <c r="A31" s="15"/>
      <c r="B31" s="42" t="s">
        <v>124</v>
      </c>
      <c r="C31" s="32"/>
      <c r="D31" s="32"/>
      <c r="E31" s="32"/>
      <c r="F31" s="115"/>
      <c r="G31" s="32"/>
    </row>
    <row r="32" spans="1:7" ht="18.75">
      <c r="A32" s="15"/>
      <c r="B32" s="53" t="s">
        <v>791</v>
      </c>
      <c r="C32" s="32"/>
      <c r="D32" s="32"/>
      <c r="E32" s="32"/>
      <c r="F32" s="115">
        <v>5366.88</v>
      </c>
      <c r="G32" s="32"/>
    </row>
    <row r="33" spans="1:7" ht="18.75">
      <c r="A33" s="15"/>
      <c r="B33" s="53" t="s">
        <v>792</v>
      </c>
      <c r="C33" s="32"/>
      <c r="D33" s="32"/>
      <c r="E33" s="32"/>
      <c r="F33" s="115">
        <v>1192.85</v>
      </c>
      <c r="G33" s="32"/>
    </row>
    <row r="34" spans="1:7" ht="18.75">
      <c r="A34" s="15"/>
      <c r="B34" s="42" t="s">
        <v>93</v>
      </c>
      <c r="C34" s="32"/>
      <c r="D34" s="32"/>
      <c r="E34" s="32"/>
      <c r="F34" s="115"/>
      <c r="G34" s="32"/>
    </row>
    <row r="35" spans="1:7" ht="37.5">
      <c r="A35" s="15"/>
      <c r="B35" s="53" t="s">
        <v>793</v>
      </c>
      <c r="C35" s="32"/>
      <c r="D35" s="32"/>
      <c r="E35" s="32"/>
      <c r="F35" s="115">
        <v>9411.03</v>
      </c>
      <c r="G35" s="32"/>
    </row>
    <row r="36" spans="1:7" ht="37.5">
      <c r="A36" s="15"/>
      <c r="B36" s="53" t="s">
        <v>794</v>
      </c>
      <c r="C36" s="32"/>
      <c r="D36" s="32"/>
      <c r="E36" s="32"/>
      <c r="F36" s="115">
        <v>829.97</v>
      </c>
      <c r="G36" s="32"/>
    </row>
    <row r="37" spans="1:7" ht="18.75">
      <c r="A37" s="15"/>
      <c r="B37" s="42" t="s">
        <v>94</v>
      </c>
      <c r="C37" s="32"/>
      <c r="D37" s="32"/>
      <c r="E37" s="32"/>
      <c r="F37" s="115"/>
      <c r="G37" s="32"/>
    </row>
    <row r="38" spans="1:7" ht="56.25">
      <c r="A38" s="15"/>
      <c r="B38" s="53" t="s">
        <v>795</v>
      </c>
      <c r="C38" s="32"/>
      <c r="D38" s="32"/>
      <c r="E38" s="32"/>
      <c r="F38" s="115">
        <v>14624.66</v>
      </c>
      <c r="G38" s="32"/>
    </row>
    <row r="39" spans="1:7" ht="18.75">
      <c r="A39" s="15"/>
      <c r="B39" s="53" t="s">
        <v>796</v>
      </c>
      <c r="C39" s="32"/>
      <c r="D39" s="32"/>
      <c r="E39" s="32"/>
      <c r="F39" s="115">
        <v>851.75</v>
      </c>
      <c r="G39" s="32"/>
    </row>
    <row r="40" spans="1:7" ht="18.75">
      <c r="A40" s="15"/>
      <c r="B40" s="42" t="s">
        <v>98</v>
      </c>
      <c r="C40" s="32"/>
      <c r="D40" s="32"/>
      <c r="E40" s="32"/>
      <c r="F40" s="115"/>
      <c r="G40" s="32"/>
    </row>
    <row r="41" spans="1:7" ht="37.5">
      <c r="A41" s="15"/>
      <c r="B41" s="53" t="s">
        <v>797</v>
      </c>
      <c r="C41" s="32"/>
      <c r="D41" s="32"/>
      <c r="E41" s="32"/>
      <c r="F41" s="115">
        <v>10113.74</v>
      </c>
      <c r="G41" s="32"/>
    </row>
    <row r="42" spans="1:7" ht="21.75" customHeight="1">
      <c r="A42" s="15"/>
      <c r="B42" s="53" t="s">
        <v>798</v>
      </c>
      <c r="C42" s="32"/>
      <c r="D42" s="32"/>
      <c r="E42" s="32"/>
      <c r="F42" s="115">
        <v>1165.84</v>
      </c>
      <c r="G42" s="32"/>
    </row>
    <row r="43" spans="1:7" ht="18.75">
      <c r="A43" s="15"/>
      <c r="B43" s="42" t="s">
        <v>95</v>
      </c>
      <c r="C43" s="32"/>
      <c r="D43" s="32"/>
      <c r="E43" s="32"/>
      <c r="F43" s="115"/>
      <c r="G43" s="32"/>
    </row>
    <row r="44" spans="1:7" ht="56.25">
      <c r="A44" s="15"/>
      <c r="B44" s="53" t="s">
        <v>799</v>
      </c>
      <c r="C44" s="32"/>
      <c r="D44" s="32"/>
      <c r="E44" s="32"/>
      <c r="F44" s="115">
        <v>10931.49</v>
      </c>
      <c r="G44" s="32"/>
    </row>
    <row r="45" spans="1:7" ht="18.75">
      <c r="A45" s="15"/>
      <c r="B45" s="42" t="s">
        <v>96</v>
      </c>
      <c r="C45" s="32"/>
      <c r="D45" s="32"/>
      <c r="E45" s="32"/>
      <c r="F45" s="115"/>
      <c r="G45" s="32"/>
    </row>
    <row r="46" spans="1:7" ht="37.5">
      <c r="A46" s="15"/>
      <c r="B46" s="53" t="s">
        <v>800</v>
      </c>
      <c r="C46" s="32"/>
      <c r="D46" s="32"/>
      <c r="E46" s="32"/>
      <c r="F46" s="115">
        <v>6088.87</v>
      </c>
      <c r="G46" s="32"/>
    </row>
    <row r="47" spans="1:7" ht="37.5">
      <c r="A47" s="15"/>
      <c r="B47" s="53" t="s">
        <v>801</v>
      </c>
      <c r="C47" s="32"/>
      <c r="D47" s="32"/>
      <c r="E47" s="32"/>
      <c r="F47" s="115">
        <v>1804.92</v>
      </c>
      <c r="G47" s="32"/>
    </row>
    <row r="48" spans="1:7" ht="18.75">
      <c r="A48" s="15"/>
      <c r="B48" s="42" t="s">
        <v>97</v>
      </c>
      <c r="C48" s="32"/>
      <c r="D48" s="32"/>
      <c r="E48" s="32"/>
      <c r="F48" s="115"/>
      <c r="G48" s="32"/>
    </row>
    <row r="49" spans="1:7" ht="56.25">
      <c r="A49" s="15"/>
      <c r="B49" s="53" t="s">
        <v>802</v>
      </c>
      <c r="C49" s="32"/>
      <c r="D49" s="32"/>
      <c r="E49" s="32"/>
      <c r="F49" s="115">
        <v>4386.67</v>
      </c>
      <c r="G49" s="32"/>
    </row>
    <row r="50" spans="1:7" ht="18.75" customHeight="1">
      <c r="A50" s="15"/>
      <c r="B50" s="53" t="s">
        <v>798</v>
      </c>
      <c r="C50" s="32"/>
      <c r="D50" s="32"/>
      <c r="E50" s="32"/>
      <c r="F50" s="115">
        <v>563.8</v>
      </c>
      <c r="G50" s="32"/>
    </row>
    <row r="51" spans="1:7" ht="60.75" customHeight="1">
      <c r="A51" s="15"/>
      <c r="B51" s="14" t="s">
        <v>943</v>
      </c>
      <c r="C51" s="32"/>
      <c r="D51" s="32"/>
      <c r="E51" s="32">
        <v>-1318.03</v>
      </c>
      <c r="F51" s="115">
        <f>E51</f>
        <v>-1318.03</v>
      </c>
      <c r="G51" s="32"/>
    </row>
    <row r="52" spans="1:7" ht="18.75">
      <c r="A52" s="12"/>
      <c r="B52" s="53" t="s">
        <v>9</v>
      </c>
      <c r="C52" s="32">
        <f>SUM(C13:C50)</f>
        <v>9.01</v>
      </c>
      <c r="D52" s="32">
        <f>SUM(D13:D50)</f>
        <v>9.6</v>
      </c>
      <c r="E52" s="32">
        <f>SUM(E13:E50)+E51</f>
        <v>287423.56399999995</v>
      </c>
      <c r="F52" s="115">
        <f>F13+F14+F15+F16+F17+F18+F51</f>
        <v>260644.194</v>
      </c>
      <c r="G52" s="32">
        <f>SUM(G13:G50)</f>
        <v>297895.68</v>
      </c>
    </row>
    <row r="53" spans="1:44" ht="18.75">
      <c r="A53" s="13">
        <v>5</v>
      </c>
      <c r="B53" s="54" t="s">
        <v>26</v>
      </c>
      <c r="C53" s="108">
        <v>1.58</v>
      </c>
      <c r="D53" s="108">
        <v>1.85</v>
      </c>
      <c r="E53" s="98">
        <f>H53*I53*6</f>
        <v>53217.822</v>
      </c>
      <c r="F53" s="101">
        <f>E53</f>
        <v>53217.822</v>
      </c>
      <c r="G53" s="101">
        <f>AQ53*AR53*12</f>
        <v>58648.212</v>
      </c>
      <c r="H53" s="69">
        <f>H18</f>
        <v>2585.9</v>
      </c>
      <c r="I53" s="22">
        <f>C53+D53</f>
        <v>3.43</v>
      </c>
      <c r="J53" s="34">
        <v>3.43</v>
      </c>
      <c r="K53">
        <v>10</v>
      </c>
      <c r="L53">
        <v>2</v>
      </c>
      <c r="N53" s="20">
        <f>C53*J53*K53</f>
        <v>54.194</v>
      </c>
      <c r="O53" s="20" t="e">
        <f>#REF!*J53*L53</f>
        <v>#REF!</v>
      </c>
      <c r="P53" s="20" t="e">
        <f>SUM(N53:O53)</f>
        <v>#REF!</v>
      </c>
      <c r="Q53" s="21"/>
      <c r="R53" s="22">
        <v>1.47</v>
      </c>
      <c r="S53">
        <v>1.58</v>
      </c>
      <c r="T53">
        <v>6</v>
      </c>
      <c r="U53">
        <v>6</v>
      </c>
      <c r="V53">
        <f>R53*J53*T53</f>
        <v>30.2526</v>
      </c>
      <c r="W53">
        <f>S53*U53*J53</f>
        <v>32.516400000000004</v>
      </c>
      <c r="X53">
        <f>SUM(V53:W53)</f>
        <v>62.769000000000005</v>
      </c>
      <c r="AE53" s="69">
        <f>AE36</f>
        <v>0</v>
      </c>
      <c r="AF53" s="22">
        <v>3.05</v>
      </c>
      <c r="AG53" s="34">
        <v>3.43</v>
      </c>
      <c r="AQ53">
        <v>2585.9</v>
      </c>
      <c r="AR53">
        <v>1.89</v>
      </c>
    </row>
    <row r="54" spans="1:7" ht="18.75">
      <c r="A54" s="10"/>
      <c r="B54" s="26"/>
      <c r="C54" s="10"/>
      <c r="D54" s="10"/>
      <c r="E54" s="10"/>
      <c r="F54" s="10"/>
      <c r="G54" s="10"/>
    </row>
    <row r="55" spans="1:7" ht="18.75">
      <c r="A55" s="179" t="s">
        <v>941</v>
      </c>
      <c r="B55" s="179"/>
      <c r="C55" s="183">
        <v>72499.07</v>
      </c>
      <c r="D55" s="183"/>
      <c r="E55" s="6" t="s">
        <v>18</v>
      </c>
      <c r="F55" s="10"/>
      <c r="G55" s="10"/>
    </row>
    <row r="56" spans="1:7" ht="18.75">
      <c r="A56" s="179" t="s">
        <v>942</v>
      </c>
      <c r="B56" s="179"/>
      <c r="C56" s="183">
        <v>72236.73</v>
      </c>
      <c r="D56" s="183"/>
      <c r="E56" s="6" t="s">
        <v>18</v>
      </c>
      <c r="F56" s="10"/>
      <c r="G56" s="10"/>
    </row>
    <row r="57" spans="1:7" ht="18.75">
      <c r="A57" s="180" t="s">
        <v>17</v>
      </c>
      <c r="B57" s="180"/>
      <c r="C57" s="180"/>
      <c r="D57" s="180"/>
      <c r="E57" s="180"/>
      <c r="F57" s="180"/>
      <c r="G57" s="180"/>
    </row>
    <row r="58" spans="1:7" ht="18.75" customHeight="1" hidden="1">
      <c r="A58" s="181" t="s">
        <v>35</v>
      </c>
      <c r="B58" s="181"/>
      <c r="C58" s="5" t="e">
        <f>C55-#REF!</f>
        <v>#REF!</v>
      </c>
      <c r="D58" s="10" t="s">
        <v>18</v>
      </c>
      <c r="E58" s="10"/>
      <c r="F58" s="10"/>
      <c r="G58" s="10"/>
    </row>
    <row r="59" spans="1:4" ht="18.75" customHeight="1" hidden="1">
      <c r="A59" s="181" t="s">
        <v>36</v>
      </c>
      <c r="B59" s="181"/>
      <c r="C59" s="85">
        <f>E52-F52</f>
        <v>26779.369999999966</v>
      </c>
      <c r="D59" s="84" t="str">
        <f>D58</f>
        <v>рублей</v>
      </c>
    </row>
  </sheetData>
  <sheetProtection/>
  <mergeCells count="16">
    <mergeCell ref="A1:G2"/>
    <mergeCell ref="A3:G3"/>
    <mergeCell ref="A4:G5"/>
    <mergeCell ref="F9:F11"/>
    <mergeCell ref="G9:G11"/>
    <mergeCell ref="A9:A11"/>
    <mergeCell ref="B9:B11"/>
    <mergeCell ref="C9:D10"/>
    <mergeCell ref="E9:E11"/>
    <mergeCell ref="A55:B55"/>
    <mergeCell ref="A56:B56"/>
    <mergeCell ref="A57:G57"/>
    <mergeCell ref="A58:B58"/>
    <mergeCell ref="A59:B59"/>
    <mergeCell ref="C55:D55"/>
    <mergeCell ref="C56:D5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  <rowBreaks count="1" manualBreakCount="1">
    <brk id="36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69"/>
  <sheetViews>
    <sheetView view="pageBreakPreview" zoomScale="75" zoomScaleSheetLayoutView="75" zoomScalePageLayoutView="0" workbookViewId="0" topLeftCell="A55">
      <selection activeCell="F63" sqref="F63"/>
    </sheetView>
  </sheetViews>
  <sheetFormatPr defaultColWidth="9.00390625" defaultRowHeight="12.75"/>
  <cols>
    <col min="2" max="2" width="47.875" style="0" customWidth="1"/>
    <col min="3" max="3" width="10.375" style="0" customWidth="1"/>
    <col min="4" max="4" width="11.625" style="0" customWidth="1"/>
    <col min="5" max="5" width="14.875" style="0" customWidth="1"/>
    <col min="6" max="6" width="15.625" style="0" bestFit="1" customWidth="1"/>
    <col min="7" max="7" width="15.25390625" style="0" customWidth="1"/>
    <col min="8" max="8" width="9.125" style="0" customWidth="1"/>
  </cols>
  <sheetData>
    <row r="1" spans="1:7" ht="12.75">
      <c r="A1" s="179" t="s">
        <v>25</v>
      </c>
      <c r="B1" s="179"/>
      <c r="C1" s="179"/>
      <c r="D1" s="179"/>
      <c r="E1" s="179"/>
      <c r="F1" s="179"/>
      <c r="G1" s="179"/>
    </row>
    <row r="2" spans="1:7" ht="12.75">
      <c r="A2" s="179"/>
      <c r="B2" s="179"/>
      <c r="C2" s="179"/>
      <c r="D2" s="179"/>
      <c r="E2" s="179"/>
      <c r="F2" s="179"/>
      <c r="G2" s="179"/>
    </row>
    <row r="3" spans="1:7" ht="45.75" customHeight="1">
      <c r="A3" s="182" t="s">
        <v>52</v>
      </c>
      <c r="B3" s="182"/>
      <c r="C3" s="182"/>
      <c r="D3" s="182"/>
      <c r="E3" s="182"/>
      <c r="F3" s="182"/>
      <c r="G3" s="182"/>
    </row>
    <row r="4" spans="1:7" ht="12.75">
      <c r="A4" s="179" t="s">
        <v>110</v>
      </c>
      <c r="B4" s="179"/>
      <c r="C4" s="179"/>
      <c r="D4" s="179"/>
      <c r="E4" s="179"/>
      <c r="F4" s="179"/>
      <c r="G4" s="179"/>
    </row>
    <row r="5" spans="1:7" ht="12.75">
      <c r="A5" s="179"/>
      <c r="B5" s="179"/>
      <c r="C5" s="179"/>
      <c r="D5" s="179"/>
      <c r="E5" s="179"/>
      <c r="F5" s="179"/>
      <c r="G5" s="179"/>
    </row>
    <row r="6" spans="1:7" ht="18.75">
      <c r="A6" s="5"/>
      <c r="B6" s="5"/>
      <c r="C6" s="5"/>
      <c r="D6" s="5"/>
      <c r="E6" s="5"/>
      <c r="F6" s="5"/>
      <c r="G6" s="5"/>
    </row>
    <row r="7" spans="1:7" ht="22.5">
      <c r="A7" s="8"/>
      <c r="B7" s="9" t="s">
        <v>5</v>
      </c>
      <c r="C7" s="92">
        <v>4344.8</v>
      </c>
      <c r="D7" s="5" t="s">
        <v>31</v>
      </c>
      <c r="E7" s="10"/>
      <c r="F7" s="10"/>
      <c r="G7" s="10"/>
    </row>
    <row r="8" spans="1:7" ht="18.75">
      <c r="A8" s="8"/>
      <c r="B8" s="5"/>
      <c r="C8" s="5"/>
      <c r="D8" s="5"/>
      <c r="E8" s="5"/>
      <c r="F8" s="5"/>
      <c r="G8" s="5"/>
    </row>
    <row r="9" spans="1:7" ht="12.75" customHeight="1">
      <c r="A9" s="201" t="s">
        <v>8</v>
      </c>
      <c r="B9" s="201" t="s">
        <v>6</v>
      </c>
      <c r="C9" s="185" t="s">
        <v>32</v>
      </c>
      <c r="D9" s="204"/>
      <c r="E9" s="189" t="s">
        <v>99</v>
      </c>
      <c r="F9" s="189" t="s">
        <v>74</v>
      </c>
      <c r="G9" s="189" t="s">
        <v>218</v>
      </c>
    </row>
    <row r="10" spans="1:7" ht="60" customHeight="1">
      <c r="A10" s="202"/>
      <c r="B10" s="202"/>
      <c r="C10" s="187"/>
      <c r="D10" s="205"/>
      <c r="E10" s="190"/>
      <c r="F10" s="190"/>
      <c r="G10" s="190"/>
    </row>
    <row r="11" spans="1:7" ht="111" customHeight="1">
      <c r="A11" s="203"/>
      <c r="B11" s="203"/>
      <c r="C11" s="87" t="s">
        <v>107</v>
      </c>
      <c r="D11" s="87" t="s">
        <v>106</v>
      </c>
      <c r="E11" s="191"/>
      <c r="F11" s="191"/>
      <c r="G11" s="191"/>
    </row>
    <row r="12" spans="1:7" ht="56.25">
      <c r="A12" s="13" t="s">
        <v>12</v>
      </c>
      <c r="B12" s="14" t="s">
        <v>20</v>
      </c>
      <c r="C12" s="13"/>
      <c r="D12" s="13"/>
      <c r="E12" s="13"/>
      <c r="F12" s="13"/>
      <c r="G12" s="13"/>
    </row>
    <row r="13" spans="1:10" ht="18.75">
      <c r="A13" s="15" t="s">
        <v>13</v>
      </c>
      <c r="B13" s="14" t="s">
        <v>10</v>
      </c>
      <c r="C13" s="34">
        <v>1.09</v>
      </c>
      <c r="D13" s="34">
        <v>1.14</v>
      </c>
      <c r="E13" s="32">
        <f aca="true" t="shared" si="0" ref="E13:E18">H13*I13*6</f>
        <v>58133.424</v>
      </c>
      <c r="F13" s="16">
        <f>E13</f>
        <v>58133.424</v>
      </c>
      <c r="G13" s="32">
        <f aca="true" t="shared" si="1" ref="G13:G18">J13*12*H13</f>
        <v>59436.864</v>
      </c>
      <c r="H13">
        <f>C7</f>
        <v>4344.8</v>
      </c>
      <c r="I13" s="22">
        <f aca="true" t="shared" si="2" ref="I13:I18">C13+D13</f>
        <v>2.23</v>
      </c>
      <c r="J13" s="34">
        <v>1.14</v>
      </c>
    </row>
    <row r="14" spans="1:10" ht="37.5">
      <c r="A14" s="15" t="s">
        <v>14</v>
      </c>
      <c r="B14" s="14" t="s">
        <v>15</v>
      </c>
      <c r="C14" s="34">
        <v>1.39</v>
      </c>
      <c r="D14" s="34">
        <v>1.46</v>
      </c>
      <c r="E14" s="32">
        <f t="shared" si="0"/>
        <v>74296.07999999999</v>
      </c>
      <c r="F14" s="16">
        <f>E14</f>
        <v>74296.07999999999</v>
      </c>
      <c r="G14" s="32">
        <f t="shared" si="1"/>
        <v>76120.89600000001</v>
      </c>
      <c r="H14">
        <f>H13</f>
        <v>4344.8</v>
      </c>
      <c r="I14" s="22">
        <f t="shared" si="2"/>
        <v>2.8499999999999996</v>
      </c>
      <c r="J14" s="34">
        <v>1.46</v>
      </c>
    </row>
    <row r="15" spans="1:10" ht="18.75">
      <c r="A15" s="15" t="s">
        <v>16</v>
      </c>
      <c r="B15" s="14" t="s">
        <v>7</v>
      </c>
      <c r="C15" s="34"/>
      <c r="D15" s="34"/>
      <c r="E15" s="32"/>
      <c r="F15" s="16"/>
      <c r="G15" s="32"/>
      <c r="H15">
        <f>H14</f>
        <v>4344.8</v>
      </c>
      <c r="I15" s="22">
        <f t="shared" si="2"/>
        <v>0</v>
      </c>
      <c r="J15" s="34">
        <v>0</v>
      </c>
    </row>
    <row r="16" spans="1:10" ht="18.75">
      <c r="A16" s="15" t="s">
        <v>21</v>
      </c>
      <c r="B16" s="14" t="s">
        <v>11</v>
      </c>
      <c r="C16" s="34">
        <v>0.82</v>
      </c>
      <c r="D16" s="34">
        <v>0.58</v>
      </c>
      <c r="E16" s="32">
        <f t="shared" si="0"/>
        <v>36496.32</v>
      </c>
      <c r="F16" s="16">
        <f>E16</f>
        <v>36496.32</v>
      </c>
      <c r="G16" s="32">
        <f t="shared" si="1"/>
        <v>30239.807999999997</v>
      </c>
      <c r="H16">
        <f>H15</f>
        <v>4344.8</v>
      </c>
      <c r="I16" s="22">
        <f t="shared" si="2"/>
        <v>1.4</v>
      </c>
      <c r="J16" s="34">
        <v>0.58</v>
      </c>
    </row>
    <row r="17" spans="1:10" ht="18.75">
      <c r="A17" s="15" t="s">
        <v>22</v>
      </c>
      <c r="B17" s="14" t="s">
        <v>19</v>
      </c>
      <c r="C17" s="34">
        <v>1.24</v>
      </c>
      <c r="D17" s="34">
        <v>1.24</v>
      </c>
      <c r="E17" s="32">
        <f t="shared" si="0"/>
        <v>64650.62400000001</v>
      </c>
      <c r="F17" s="16">
        <f>E17</f>
        <v>64650.62400000001</v>
      </c>
      <c r="G17" s="32">
        <f t="shared" si="1"/>
        <v>64650.623999999996</v>
      </c>
      <c r="H17">
        <f>H16</f>
        <v>4344.8</v>
      </c>
      <c r="I17" s="22">
        <f t="shared" si="2"/>
        <v>2.48</v>
      </c>
      <c r="J17" s="34">
        <v>1.24</v>
      </c>
    </row>
    <row r="18" spans="1:10" ht="75">
      <c r="A18" s="15" t="s">
        <v>23</v>
      </c>
      <c r="B18" s="14" t="s">
        <v>24</v>
      </c>
      <c r="C18" s="34">
        <v>4.47</v>
      </c>
      <c r="D18" s="34">
        <v>5.18</v>
      </c>
      <c r="E18" s="32">
        <f t="shared" si="0"/>
        <v>251563.91999999995</v>
      </c>
      <c r="F18" s="101">
        <f>F20+F21+F23+F24+F25+F27+F28+F29+F31+F32+F34+F35+F36+F38+F39+F40+F42+F43+F45+F46+F48+F49+F50+F52+F53+F54+F56+F57+F59+F60</f>
        <v>247818.53000000003</v>
      </c>
      <c r="G18" s="32">
        <f t="shared" si="1"/>
        <v>270072.768</v>
      </c>
      <c r="H18">
        <f>H17</f>
        <v>4344.8</v>
      </c>
      <c r="I18" s="22">
        <f t="shared" si="2"/>
        <v>9.649999999999999</v>
      </c>
      <c r="J18" s="34">
        <v>5.18</v>
      </c>
    </row>
    <row r="19" spans="1:7" ht="18.75">
      <c r="A19" s="15"/>
      <c r="B19" s="34" t="s">
        <v>75</v>
      </c>
      <c r="C19" s="16"/>
      <c r="D19" s="16"/>
      <c r="E19" s="16"/>
      <c r="F19" s="101"/>
      <c r="G19" s="16"/>
    </row>
    <row r="20" spans="1:7" ht="56.25">
      <c r="A20" s="15"/>
      <c r="B20" s="14" t="s">
        <v>937</v>
      </c>
      <c r="C20" s="16"/>
      <c r="D20" s="16"/>
      <c r="E20" s="16"/>
      <c r="F20" s="102">
        <v>7828.8</v>
      </c>
      <c r="G20" s="16"/>
    </row>
    <row r="21" spans="1:7" ht="37.5">
      <c r="A21" s="15"/>
      <c r="B21" s="14" t="s">
        <v>803</v>
      </c>
      <c r="C21" s="16"/>
      <c r="D21" s="16"/>
      <c r="E21" s="16"/>
      <c r="F21" s="101">
        <v>1036.81</v>
      </c>
      <c r="G21" s="16"/>
    </row>
    <row r="22" spans="1:7" ht="18.75">
      <c r="A22" s="15"/>
      <c r="B22" s="33" t="s">
        <v>88</v>
      </c>
      <c r="C22" s="16"/>
      <c r="D22" s="16"/>
      <c r="E22" s="16"/>
      <c r="F22" s="108"/>
      <c r="G22" s="16"/>
    </row>
    <row r="23" spans="1:7" ht="54.75" customHeight="1">
      <c r="A23" s="15"/>
      <c r="B23" s="14" t="s">
        <v>804</v>
      </c>
      <c r="C23" s="16"/>
      <c r="D23" s="16"/>
      <c r="E23" s="16"/>
      <c r="F23" s="108">
        <v>5118.8</v>
      </c>
      <c r="G23" s="16"/>
    </row>
    <row r="24" spans="1:7" ht="37.5">
      <c r="A24" s="15"/>
      <c r="B24" s="14" t="s">
        <v>805</v>
      </c>
      <c r="C24" s="16"/>
      <c r="D24" s="16"/>
      <c r="E24" s="16"/>
      <c r="F24" s="108">
        <v>615.8</v>
      </c>
      <c r="G24" s="16"/>
    </row>
    <row r="25" spans="1:7" ht="18.75">
      <c r="A25" s="15"/>
      <c r="B25" s="14" t="s">
        <v>30</v>
      </c>
      <c r="C25" s="16"/>
      <c r="D25" s="16"/>
      <c r="E25" s="16"/>
      <c r="F25" s="108">
        <v>187.91</v>
      </c>
      <c r="G25" s="16"/>
    </row>
    <row r="26" spans="1:7" ht="18.75">
      <c r="A26" s="15"/>
      <c r="B26" s="33" t="s">
        <v>89</v>
      </c>
      <c r="C26" s="16"/>
      <c r="D26" s="16"/>
      <c r="E26" s="16"/>
      <c r="F26" s="108"/>
      <c r="G26" s="16"/>
    </row>
    <row r="27" spans="1:7" ht="18.75">
      <c r="A27" s="15"/>
      <c r="B27" s="14" t="s">
        <v>806</v>
      </c>
      <c r="C27" s="16"/>
      <c r="D27" s="16"/>
      <c r="E27" s="16"/>
      <c r="F27" s="108">
        <v>579.85</v>
      </c>
      <c r="G27" s="16"/>
    </row>
    <row r="28" spans="1:7" ht="18.75">
      <c r="A28" s="15"/>
      <c r="B28" s="14" t="s">
        <v>807</v>
      </c>
      <c r="C28" s="16"/>
      <c r="D28" s="16"/>
      <c r="E28" s="16"/>
      <c r="F28" s="108">
        <v>830.16</v>
      </c>
      <c r="G28" s="16"/>
    </row>
    <row r="29" spans="1:7" ht="37.5">
      <c r="A29" s="15"/>
      <c r="B29" s="14" t="s">
        <v>808</v>
      </c>
      <c r="C29" s="16"/>
      <c r="D29" s="16"/>
      <c r="E29" s="16"/>
      <c r="F29" s="108">
        <v>6543.95</v>
      </c>
      <c r="G29" s="16"/>
    </row>
    <row r="30" spans="1:7" ht="18.75">
      <c r="A30" s="15"/>
      <c r="B30" s="33" t="s">
        <v>90</v>
      </c>
      <c r="C30" s="16"/>
      <c r="D30" s="16"/>
      <c r="E30" s="16"/>
      <c r="F30" s="108"/>
      <c r="G30" s="16"/>
    </row>
    <row r="31" spans="1:7" ht="56.25">
      <c r="A31" s="15"/>
      <c r="B31" s="14" t="s">
        <v>809</v>
      </c>
      <c r="C31" s="16"/>
      <c r="D31" s="16"/>
      <c r="E31" s="16"/>
      <c r="F31" s="108">
        <v>8191.84</v>
      </c>
      <c r="G31" s="16"/>
    </row>
    <row r="32" spans="1:7" ht="18.75">
      <c r="A32" s="15"/>
      <c r="B32" s="14" t="s">
        <v>758</v>
      </c>
      <c r="C32" s="16"/>
      <c r="D32" s="16"/>
      <c r="E32" s="16"/>
      <c r="F32" s="108">
        <v>385.44</v>
      </c>
      <c r="G32" s="16"/>
    </row>
    <row r="33" spans="1:7" ht="18.75">
      <c r="A33" s="15"/>
      <c r="B33" s="33" t="s">
        <v>539</v>
      </c>
      <c r="C33" s="16"/>
      <c r="D33" s="16"/>
      <c r="E33" s="16"/>
      <c r="F33" s="108"/>
      <c r="G33" s="16"/>
    </row>
    <row r="34" spans="1:7" ht="75">
      <c r="A34" s="15"/>
      <c r="B34" s="33" t="s">
        <v>810</v>
      </c>
      <c r="C34" s="16"/>
      <c r="D34" s="16"/>
      <c r="E34" s="16"/>
      <c r="F34" s="108">
        <v>22793.63</v>
      </c>
      <c r="G34" s="16"/>
    </row>
    <row r="35" spans="1:7" ht="18.75">
      <c r="A35" s="15"/>
      <c r="B35" s="33" t="s">
        <v>811</v>
      </c>
      <c r="C35" s="16"/>
      <c r="D35" s="16"/>
      <c r="E35" s="16"/>
      <c r="F35" s="108">
        <v>1603.71</v>
      </c>
      <c r="G35" s="16"/>
    </row>
    <row r="36" spans="1:7" ht="18.75">
      <c r="A36" s="15"/>
      <c r="B36" s="33" t="s">
        <v>812</v>
      </c>
      <c r="C36" s="16"/>
      <c r="D36" s="16"/>
      <c r="E36" s="16"/>
      <c r="F36" s="108">
        <v>222.2</v>
      </c>
      <c r="G36" s="16"/>
    </row>
    <row r="37" spans="1:7" ht="18.75">
      <c r="A37" s="15"/>
      <c r="B37" s="33" t="s">
        <v>124</v>
      </c>
      <c r="C37" s="16"/>
      <c r="D37" s="16"/>
      <c r="E37" s="16"/>
      <c r="F37" s="108"/>
      <c r="G37" s="16"/>
    </row>
    <row r="38" spans="1:7" ht="35.25" customHeight="1">
      <c r="A38" s="15"/>
      <c r="B38" s="33" t="s">
        <v>813</v>
      </c>
      <c r="C38" s="16"/>
      <c r="D38" s="16"/>
      <c r="E38" s="16"/>
      <c r="F38" s="108">
        <v>97488.19</v>
      </c>
      <c r="G38" s="16"/>
    </row>
    <row r="39" spans="1:7" ht="18.75">
      <c r="A39" s="15"/>
      <c r="B39" s="33" t="s">
        <v>814</v>
      </c>
      <c r="C39" s="16"/>
      <c r="D39" s="16"/>
      <c r="E39" s="16"/>
      <c r="F39" s="108">
        <v>1789.27</v>
      </c>
      <c r="G39" s="16"/>
    </row>
    <row r="40" spans="1:7" ht="18.75">
      <c r="A40" s="15"/>
      <c r="B40" s="33" t="s">
        <v>327</v>
      </c>
      <c r="C40" s="16"/>
      <c r="D40" s="16"/>
      <c r="E40" s="16"/>
      <c r="F40" s="108">
        <v>234.4</v>
      </c>
      <c r="G40" s="16"/>
    </row>
    <row r="41" spans="1:7" ht="18.75">
      <c r="A41" s="15"/>
      <c r="B41" s="33" t="s">
        <v>93</v>
      </c>
      <c r="C41" s="16"/>
      <c r="D41" s="16"/>
      <c r="E41" s="16"/>
      <c r="F41" s="108"/>
      <c r="G41" s="16"/>
    </row>
    <row r="42" spans="1:7" ht="93.75">
      <c r="A42" s="13"/>
      <c r="B42" s="14" t="s">
        <v>815</v>
      </c>
      <c r="C42" s="16"/>
      <c r="D42" s="16"/>
      <c r="E42" s="16"/>
      <c r="F42" s="108">
        <v>26431.32</v>
      </c>
      <c r="G42" s="16"/>
    </row>
    <row r="43" spans="1:7" ht="56.25">
      <c r="A43" s="15"/>
      <c r="B43" s="14" t="s">
        <v>816</v>
      </c>
      <c r="C43" s="16"/>
      <c r="D43" s="16"/>
      <c r="E43" s="16"/>
      <c r="F43" s="108">
        <v>1921.04</v>
      </c>
      <c r="G43" s="16"/>
    </row>
    <row r="44" spans="1:7" ht="18.75">
      <c r="A44" s="15"/>
      <c r="B44" s="33" t="s">
        <v>94</v>
      </c>
      <c r="C44" s="16"/>
      <c r="D44" s="16"/>
      <c r="E44" s="16"/>
      <c r="F44" s="108"/>
      <c r="G44" s="16"/>
    </row>
    <row r="45" spans="1:7" ht="56.25">
      <c r="A45" s="15"/>
      <c r="B45" s="14" t="s">
        <v>817</v>
      </c>
      <c r="C45" s="16"/>
      <c r="D45" s="16"/>
      <c r="E45" s="16"/>
      <c r="F45" s="108">
        <v>16580.08</v>
      </c>
      <c r="G45" s="16"/>
    </row>
    <row r="46" spans="1:7" ht="56.25">
      <c r="A46" s="15"/>
      <c r="B46" s="14" t="s">
        <v>818</v>
      </c>
      <c r="C46" s="16"/>
      <c r="D46" s="16"/>
      <c r="E46" s="16"/>
      <c r="F46" s="108">
        <v>4055.67</v>
      </c>
      <c r="G46" s="16"/>
    </row>
    <row r="47" spans="1:7" ht="18.75">
      <c r="A47" s="15"/>
      <c r="B47" s="33" t="s">
        <v>98</v>
      </c>
      <c r="C47" s="16"/>
      <c r="D47" s="16"/>
      <c r="E47" s="16"/>
      <c r="F47" s="108"/>
      <c r="G47" s="16"/>
    </row>
    <row r="48" spans="1:7" ht="37.5">
      <c r="A48" s="15"/>
      <c r="B48" s="14" t="s">
        <v>819</v>
      </c>
      <c r="C48" s="16"/>
      <c r="D48" s="16"/>
      <c r="E48" s="16"/>
      <c r="F48" s="108">
        <v>8548.67</v>
      </c>
      <c r="G48" s="16"/>
    </row>
    <row r="49" spans="1:7" ht="18.75">
      <c r="A49" s="15"/>
      <c r="B49" s="14" t="s">
        <v>820</v>
      </c>
      <c r="C49" s="16"/>
      <c r="D49" s="16"/>
      <c r="E49" s="16"/>
      <c r="F49" s="108">
        <v>5610</v>
      </c>
      <c r="G49" s="16"/>
    </row>
    <row r="50" spans="1:7" ht="37.5">
      <c r="A50" s="15"/>
      <c r="B50" s="14" t="s">
        <v>821</v>
      </c>
      <c r="C50" s="16"/>
      <c r="D50" s="16"/>
      <c r="E50" s="16"/>
      <c r="F50" s="108">
        <v>2255.09</v>
      </c>
      <c r="G50" s="16"/>
    </row>
    <row r="51" spans="1:7" ht="18.75">
      <c r="A51" s="15"/>
      <c r="B51" s="33" t="s">
        <v>95</v>
      </c>
      <c r="C51" s="16"/>
      <c r="D51" s="16"/>
      <c r="E51" s="16"/>
      <c r="F51" s="108"/>
      <c r="G51" s="16"/>
    </row>
    <row r="52" spans="1:7" ht="75">
      <c r="A52" s="15"/>
      <c r="B52" s="14" t="s">
        <v>822</v>
      </c>
      <c r="C52" s="16"/>
      <c r="D52" s="16"/>
      <c r="E52" s="16"/>
      <c r="F52" s="108">
        <v>8151.13</v>
      </c>
      <c r="G52" s="16"/>
    </row>
    <row r="53" spans="1:7" ht="18.75">
      <c r="A53" s="15"/>
      <c r="B53" s="14" t="s">
        <v>823</v>
      </c>
      <c r="C53" s="16"/>
      <c r="D53" s="16"/>
      <c r="E53" s="16"/>
      <c r="F53" s="108">
        <v>259.29</v>
      </c>
      <c r="G53" s="16"/>
    </row>
    <row r="54" spans="1:7" ht="18.75">
      <c r="A54" s="15"/>
      <c r="B54" s="14" t="s">
        <v>824</v>
      </c>
      <c r="C54" s="16"/>
      <c r="D54" s="16"/>
      <c r="E54" s="16"/>
      <c r="F54" s="108">
        <v>415.08</v>
      </c>
      <c r="G54" s="16"/>
    </row>
    <row r="55" spans="1:7" ht="18.75">
      <c r="A55" s="15"/>
      <c r="B55" s="33" t="s">
        <v>96</v>
      </c>
      <c r="C55" s="16"/>
      <c r="D55" s="16"/>
      <c r="E55" s="16"/>
      <c r="F55" s="108"/>
      <c r="G55" s="16"/>
    </row>
    <row r="56" spans="1:7" ht="37.5">
      <c r="A56" s="15"/>
      <c r="B56" s="14" t="s">
        <v>825</v>
      </c>
      <c r="C56" s="16"/>
      <c r="D56" s="16"/>
      <c r="E56" s="16"/>
      <c r="F56" s="108">
        <v>656.25</v>
      </c>
      <c r="G56" s="16"/>
    </row>
    <row r="57" spans="1:7" ht="56.25">
      <c r="A57" s="15"/>
      <c r="B57" s="14" t="s">
        <v>826</v>
      </c>
      <c r="C57" s="16"/>
      <c r="D57" s="16"/>
      <c r="E57" s="16"/>
      <c r="F57" s="108">
        <v>5104.83</v>
      </c>
      <c r="G57" s="16"/>
    </row>
    <row r="58" spans="1:7" ht="18.75">
      <c r="A58" s="15"/>
      <c r="B58" s="33" t="s">
        <v>97</v>
      </c>
      <c r="C58" s="16"/>
      <c r="D58" s="16"/>
      <c r="E58" s="16"/>
      <c r="F58" s="108"/>
      <c r="G58" s="16"/>
    </row>
    <row r="59" spans="1:7" ht="56.25">
      <c r="A59" s="15"/>
      <c r="B59" s="14" t="s">
        <v>827</v>
      </c>
      <c r="C59" s="16"/>
      <c r="D59" s="16"/>
      <c r="E59" s="16"/>
      <c r="F59" s="108">
        <v>12066.98</v>
      </c>
      <c r="G59" s="16"/>
    </row>
    <row r="60" spans="1:7" ht="18.75">
      <c r="A60" s="15"/>
      <c r="B60" s="14" t="s">
        <v>828</v>
      </c>
      <c r="C60" s="16"/>
      <c r="D60" s="16"/>
      <c r="E60" s="16"/>
      <c r="F60" s="108">
        <v>312.34</v>
      </c>
      <c r="G60" s="16"/>
    </row>
    <row r="61" spans="1:7" ht="60" customHeight="1">
      <c r="A61" s="15"/>
      <c r="B61" s="14" t="s">
        <v>943</v>
      </c>
      <c r="C61" s="16"/>
      <c r="D61" s="16"/>
      <c r="E61" s="16">
        <v>-2114.83</v>
      </c>
      <c r="F61" s="101">
        <f>E61</f>
        <v>-2114.83</v>
      </c>
      <c r="G61" s="16"/>
    </row>
    <row r="62" spans="1:7" ht="18.75">
      <c r="A62" s="12"/>
      <c r="B62" s="14" t="s">
        <v>9</v>
      </c>
      <c r="C62" s="13">
        <f>SUM(C13:C42)</f>
        <v>9.01</v>
      </c>
      <c r="D62" s="13">
        <f>SUM(D13:D42)</f>
        <v>9.6</v>
      </c>
      <c r="E62" s="16">
        <f>SUM(E13:E42)+E61</f>
        <v>483025.53799999994</v>
      </c>
      <c r="F62" s="101">
        <f>F13+F14+F15+F16+F17+F18+F61</f>
        <v>479280.148</v>
      </c>
      <c r="G62" s="16">
        <f>SUM(G13:G60)</f>
        <v>500520.95999999996</v>
      </c>
    </row>
    <row r="63" spans="1:10" ht="18.75">
      <c r="A63" s="13">
        <v>5</v>
      </c>
      <c r="B63" s="25" t="s">
        <v>26</v>
      </c>
      <c r="C63" s="108">
        <v>1.58</v>
      </c>
      <c r="D63" s="108">
        <v>1.85</v>
      </c>
      <c r="E63" s="98">
        <f>H63*I63*6</f>
        <v>89415.984</v>
      </c>
      <c r="F63" s="101">
        <f>E63</f>
        <v>89415.984</v>
      </c>
      <c r="G63" s="101">
        <f>H63*J63*6</f>
        <v>98540.06400000001</v>
      </c>
      <c r="H63" s="69">
        <f>H14</f>
        <v>4344.8</v>
      </c>
      <c r="I63" s="22">
        <f>C63+D63</f>
        <v>3.43</v>
      </c>
      <c r="J63" s="34">
        <v>3.78</v>
      </c>
    </row>
    <row r="64" spans="1:7" ht="18.75">
      <c r="A64" s="10"/>
      <c r="B64" s="26"/>
      <c r="C64" s="10"/>
      <c r="D64" s="10"/>
      <c r="E64" s="10"/>
      <c r="F64" s="10"/>
      <c r="G64" s="10"/>
    </row>
    <row r="65" spans="1:7" ht="18.75">
      <c r="A65" s="179" t="s">
        <v>941</v>
      </c>
      <c r="B65" s="179"/>
      <c r="C65" s="183">
        <v>43483.25</v>
      </c>
      <c r="D65" s="183"/>
      <c r="E65" s="6" t="s">
        <v>18</v>
      </c>
      <c r="F65" s="10"/>
      <c r="G65" s="10"/>
    </row>
    <row r="66" spans="1:7" ht="18.75">
      <c r="A66" s="179" t="s">
        <v>942</v>
      </c>
      <c r="B66" s="179"/>
      <c r="C66" s="183">
        <v>57533.55</v>
      </c>
      <c r="D66" s="183"/>
      <c r="E66" s="6" t="s">
        <v>18</v>
      </c>
      <c r="F66" s="10"/>
      <c r="G66" s="10"/>
    </row>
    <row r="67" spans="1:7" ht="18.75">
      <c r="A67" s="180" t="s">
        <v>17</v>
      </c>
      <c r="B67" s="180"/>
      <c r="C67" s="180"/>
      <c r="D67" s="180"/>
      <c r="E67" s="180"/>
      <c r="F67" s="180"/>
      <c r="G67" s="180"/>
    </row>
    <row r="68" spans="1:7" ht="18.75" customHeight="1" hidden="1">
      <c r="A68" s="181" t="s">
        <v>35</v>
      </c>
      <c r="B68" s="181"/>
      <c r="C68" s="5" t="e">
        <f>C65-#REF!</f>
        <v>#REF!</v>
      </c>
      <c r="D68" s="10" t="s">
        <v>18</v>
      </c>
      <c r="E68" s="10"/>
      <c r="F68" s="10"/>
      <c r="G68" s="10"/>
    </row>
    <row r="69" spans="1:4" ht="18.75" customHeight="1" hidden="1">
      <c r="A69" s="181" t="s">
        <v>36</v>
      </c>
      <c r="B69" s="181"/>
      <c r="C69" s="85">
        <f>E62-F62</f>
        <v>3745.3899999999558</v>
      </c>
      <c r="D69" s="84" t="str">
        <f>D68</f>
        <v>рублей</v>
      </c>
    </row>
  </sheetData>
  <sheetProtection/>
  <mergeCells count="16">
    <mergeCell ref="A1:G2"/>
    <mergeCell ref="A3:G3"/>
    <mergeCell ref="A4:G5"/>
    <mergeCell ref="F9:F11"/>
    <mergeCell ref="G9:G11"/>
    <mergeCell ref="A9:A11"/>
    <mergeCell ref="B9:B11"/>
    <mergeCell ref="C9:D10"/>
    <mergeCell ref="E9:E11"/>
    <mergeCell ref="A65:B65"/>
    <mergeCell ref="A66:B66"/>
    <mergeCell ref="A67:G67"/>
    <mergeCell ref="A68:B68"/>
    <mergeCell ref="A69:B69"/>
    <mergeCell ref="C65:D65"/>
    <mergeCell ref="C66:D6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Q67"/>
  <sheetViews>
    <sheetView view="pageBreakPreview" zoomScale="75" zoomScaleSheetLayoutView="75" zoomScalePageLayoutView="0" workbookViewId="0" topLeftCell="A28">
      <selection activeCell="K35" sqref="K35"/>
    </sheetView>
  </sheetViews>
  <sheetFormatPr defaultColWidth="9.00390625" defaultRowHeight="12.75"/>
  <cols>
    <col min="2" max="2" width="49.00390625" style="0" customWidth="1"/>
    <col min="3" max="3" width="14.00390625" style="0" customWidth="1"/>
    <col min="4" max="4" width="12.625" style="0" customWidth="1"/>
    <col min="5" max="5" width="14.75390625" style="0" customWidth="1"/>
    <col min="6" max="6" width="13.375" style="0" customWidth="1"/>
    <col min="7" max="7" width="12.25390625" style="0" customWidth="1"/>
    <col min="8" max="8" width="11.00390625" style="0" hidden="1" customWidth="1"/>
    <col min="9" max="9" width="9.125" style="0" hidden="1" customWidth="1"/>
    <col min="10" max="14" width="9.125" style="0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34.5" customHeight="1">
      <c r="A3" s="182" t="s">
        <v>73</v>
      </c>
      <c r="B3" s="182"/>
      <c r="C3" s="182"/>
      <c r="D3" s="182"/>
      <c r="E3" s="182"/>
      <c r="F3" s="182"/>
      <c r="G3" s="182"/>
      <c r="H3" s="7"/>
    </row>
    <row r="4" spans="1:8" ht="12.75" customHeight="1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 customHeight="1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3418.6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9" ht="18.75" customHeight="1">
      <c r="A9" s="184" t="s">
        <v>8</v>
      </c>
      <c r="B9" s="184" t="s">
        <v>6</v>
      </c>
      <c r="C9" s="185" t="s">
        <v>32</v>
      </c>
      <c r="D9" s="186"/>
      <c r="E9" s="189" t="s">
        <v>99</v>
      </c>
      <c r="F9" s="178" t="s">
        <v>74</v>
      </c>
      <c r="G9" s="178" t="s">
        <v>218</v>
      </c>
      <c r="H9" s="11"/>
      <c r="I9" s="2"/>
    </row>
    <row r="10" spans="1:9" ht="57" customHeight="1">
      <c r="A10" s="184"/>
      <c r="B10" s="184"/>
      <c r="C10" s="187"/>
      <c r="D10" s="188"/>
      <c r="E10" s="190"/>
      <c r="F10" s="178"/>
      <c r="G10" s="178"/>
      <c r="H10" s="12"/>
      <c r="I10" s="2"/>
    </row>
    <row r="11" spans="1:9" ht="82.5" customHeight="1">
      <c r="A11" s="184"/>
      <c r="B11" s="184"/>
      <c r="C11" s="87" t="s">
        <v>107</v>
      </c>
      <c r="D11" s="87" t="s">
        <v>106</v>
      </c>
      <c r="E11" s="191"/>
      <c r="F11" s="178"/>
      <c r="G11" s="178"/>
      <c r="H11" s="12"/>
      <c r="I11" s="2"/>
    </row>
    <row r="12" spans="1:7" ht="56.25">
      <c r="A12" s="13" t="s">
        <v>12</v>
      </c>
      <c r="B12" s="14" t="s">
        <v>20</v>
      </c>
      <c r="C12" s="33"/>
      <c r="D12" s="33"/>
      <c r="E12" s="33"/>
      <c r="F12" s="33"/>
      <c r="G12" s="13"/>
    </row>
    <row r="13" spans="1:9" ht="18.75">
      <c r="A13" s="15" t="s">
        <v>13</v>
      </c>
      <c r="B13" s="14" t="s">
        <v>10</v>
      </c>
      <c r="C13" s="34">
        <v>1.09</v>
      </c>
      <c r="D13" s="34">
        <v>1.14</v>
      </c>
      <c r="E13" s="34">
        <f aca="true" t="shared" si="0" ref="E13:E18">H13*(C13+D13)*6</f>
        <v>45740.868</v>
      </c>
      <c r="F13" s="34">
        <f>E13</f>
        <v>45740.868</v>
      </c>
      <c r="G13" s="16">
        <f aca="true" t="shared" si="1" ref="G13:G18">H13*I13*12</f>
        <v>46766.448</v>
      </c>
      <c r="H13">
        <f>C7</f>
        <v>3418.6</v>
      </c>
      <c r="I13" s="34">
        <v>1.14</v>
      </c>
    </row>
    <row r="14" spans="1:9" ht="37.5">
      <c r="A14" s="15" t="s">
        <v>14</v>
      </c>
      <c r="B14" s="14" t="s">
        <v>15</v>
      </c>
      <c r="C14" s="34">
        <v>1.39</v>
      </c>
      <c r="D14" s="34">
        <v>1.46</v>
      </c>
      <c r="E14" s="34">
        <f t="shared" si="0"/>
        <v>58458.05999999999</v>
      </c>
      <c r="F14" s="34">
        <f>E14</f>
        <v>58458.05999999999</v>
      </c>
      <c r="G14" s="16">
        <f t="shared" si="1"/>
        <v>59893.872</v>
      </c>
      <c r="H14">
        <f>H13</f>
        <v>3418.6</v>
      </c>
      <c r="I14" s="34">
        <v>1.46</v>
      </c>
    </row>
    <row r="15" spans="1:9" ht="18.75">
      <c r="A15" s="15" t="s">
        <v>16</v>
      </c>
      <c r="B15" s="14" t="s">
        <v>7</v>
      </c>
      <c r="C15" s="34"/>
      <c r="D15" s="34"/>
      <c r="E15" s="34"/>
      <c r="F15" s="34"/>
      <c r="G15" s="16"/>
      <c r="H15">
        <f>H14</f>
        <v>3418.6</v>
      </c>
      <c r="I15" s="34">
        <v>0</v>
      </c>
    </row>
    <row r="16" spans="1:9" ht="18.75">
      <c r="A16" s="15" t="s">
        <v>21</v>
      </c>
      <c r="B16" s="14" t="s">
        <v>11</v>
      </c>
      <c r="C16" s="34">
        <v>0.82</v>
      </c>
      <c r="D16" s="34">
        <v>0.58</v>
      </c>
      <c r="E16" s="34">
        <f t="shared" si="0"/>
        <v>28716.239999999998</v>
      </c>
      <c r="F16" s="34">
        <f>E16</f>
        <v>28716.239999999998</v>
      </c>
      <c r="G16" s="16">
        <f t="shared" si="1"/>
        <v>23793.456</v>
      </c>
      <c r="H16">
        <f>H15</f>
        <v>3418.6</v>
      </c>
      <c r="I16" s="34">
        <v>0.58</v>
      </c>
    </row>
    <row r="17" spans="1:9" ht="18.75">
      <c r="A17" s="15" t="s">
        <v>22</v>
      </c>
      <c r="B17" s="14" t="s">
        <v>19</v>
      </c>
      <c r="C17" s="34">
        <v>1.24</v>
      </c>
      <c r="D17" s="34">
        <v>1.24</v>
      </c>
      <c r="E17" s="34">
        <f t="shared" si="0"/>
        <v>50868.768000000004</v>
      </c>
      <c r="F17" s="34">
        <f>E17</f>
        <v>50868.768000000004</v>
      </c>
      <c r="G17" s="16">
        <f t="shared" si="1"/>
        <v>50868.768000000004</v>
      </c>
      <c r="H17">
        <f>H16</f>
        <v>3418.6</v>
      </c>
      <c r="I17" s="34">
        <v>1.24</v>
      </c>
    </row>
    <row r="18" spans="1:9" ht="75">
      <c r="A18" s="15" t="s">
        <v>23</v>
      </c>
      <c r="B18" s="14" t="s">
        <v>24</v>
      </c>
      <c r="C18" s="34">
        <v>4.47</v>
      </c>
      <c r="D18" s="34">
        <v>5.18</v>
      </c>
      <c r="E18" s="34">
        <f t="shared" si="0"/>
        <v>197936.93999999994</v>
      </c>
      <c r="F18" s="98">
        <f>F20+F21+F23+F24+F25+F27+F28+F30+F31+F32+F34+F35+F37+F38+F40+F41+F43+F44+F45+F47+F48+F50+F51+F52+F54+F55+F57+F58</f>
        <v>152449.99</v>
      </c>
      <c r="G18" s="16">
        <f t="shared" si="1"/>
        <v>212500.17599999998</v>
      </c>
      <c r="H18">
        <f>H17</f>
        <v>3418.6</v>
      </c>
      <c r="I18" s="34">
        <v>5.18</v>
      </c>
    </row>
    <row r="19" spans="1:9" ht="18.75">
      <c r="A19" s="48"/>
      <c r="B19" s="34" t="s">
        <v>75</v>
      </c>
      <c r="C19" s="16"/>
      <c r="D19" s="16"/>
      <c r="E19" s="16"/>
      <c r="F19" s="16"/>
      <c r="G19" s="16"/>
      <c r="H19" s="17"/>
      <c r="I19" s="18"/>
    </row>
    <row r="20" spans="1:9" ht="75">
      <c r="A20" s="48"/>
      <c r="B20" s="14" t="s">
        <v>137</v>
      </c>
      <c r="C20" s="16"/>
      <c r="D20" s="16"/>
      <c r="E20" s="16"/>
      <c r="F20" s="102">
        <v>14654.89</v>
      </c>
      <c r="G20" s="16"/>
      <c r="H20" s="17"/>
      <c r="I20" s="18"/>
    </row>
    <row r="21" spans="1:9" ht="18.75">
      <c r="A21" s="48"/>
      <c r="B21" s="14" t="s">
        <v>138</v>
      </c>
      <c r="C21" s="16"/>
      <c r="D21" s="16"/>
      <c r="E21" s="16"/>
      <c r="F21" s="102">
        <v>508.17</v>
      </c>
      <c r="G21" s="16"/>
      <c r="H21" s="17"/>
      <c r="I21" s="18"/>
    </row>
    <row r="22" spans="1:9" ht="18.75">
      <c r="A22" s="48"/>
      <c r="B22" s="33" t="s">
        <v>139</v>
      </c>
      <c r="C22" s="16"/>
      <c r="D22" s="16"/>
      <c r="E22" s="16"/>
      <c r="F22" s="102"/>
      <c r="G22" s="16"/>
      <c r="H22" s="17"/>
      <c r="I22" s="18"/>
    </row>
    <row r="23" spans="1:9" ht="56.25">
      <c r="A23" s="33"/>
      <c r="B23" s="83" t="s">
        <v>140</v>
      </c>
      <c r="C23" s="16"/>
      <c r="D23" s="16"/>
      <c r="E23" s="16"/>
      <c r="F23" s="102">
        <v>12865.22</v>
      </c>
      <c r="G23" s="16"/>
      <c r="H23" s="17"/>
      <c r="I23" s="18"/>
    </row>
    <row r="24" spans="1:9" ht="18.75">
      <c r="A24" s="33"/>
      <c r="B24" s="83" t="s">
        <v>141</v>
      </c>
      <c r="C24" s="16"/>
      <c r="D24" s="16"/>
      <c r="E24" s="16"/>
      <c r="F24" s="102">
        <v>3710.1</v>
      </c>
      <c r="G24" s="16"/>
      <c r="H24" s="17"/>
      <c r="I24" s="18"/>
    </row>
    <row r="25" spans="1:9" ht="18.75">
      <c r="A25" s="33"/>
      <c r="B25" s="83" t="s">
        <v>142</v>
      </c>
      <c r="C25" s="16"/>
      <c r="D25" s="16"/>
      <c r="E25" s="16"/>
      <c r="F25" s="102">
        <v>369.28</v>
      </c>
      <c r="G25" s="16"/>
      <c r="H25" s="17"/>
      <c r="I25" s="18"/>
    </row>
    <row r="26" spans="1:9" ht="18.75">
      <c r="A26" s="33"/>
      <c r="B26" s="33" t="s">
        <v>116</v>
      </c>
      <c r="C26" s="16"/>
      <c r="D26" s="16"/>
      <c r="E26" s="16"/>
      <c r="F26" s="102"/>
      <c r="G26" s="16"/>
      <c r="H26" s="17"/>
      <c r="I26" s="18"/>
    </row>
    <row r="27" spans="1:9" ht="37.5">
      <c r="A27" s="33"/>
      <c r="B27" s="33" t="s">
        <v>143</v>
      </c>
      <c r="C27" s="16"/>
      <c r="D27" s="16"/>
      <c r="E27" s="16"/>
      <c r="F27" s="102">
        <v>9013.07</v>
      </c>
      <c r="G27" s="16"/>
      <c r="H27" s="17"/>
      <c r="I27" s="18"/>
    </row>
    <row r="28" spans="1:9" ht="18.75">
      <c r="A28" s="33"/>
      <c r="B28" s="33" t="s">
        <v>144</v>
      </c>
      <c r="C28" s="16"/>
      <c r="D28" s="16"/>
      <c r="E28" s="16"/>
      <c r="F28" s="102">
        <v>4980.96</v>
      </c>
      <c r="G28" s="16"/>
      <c r="H28" s="17"/>
      <c r="I28" s="18"/>
    </row>
    <row r="29" spans="1:9" ht="18.75">
      <c r="A29" s="33"/>
      <c r="B29" s="33" t="s">
        <v>145</v>
      </c>
      <c r="C29" s="16"/>
      <c r="D29" s="16"/>
      <c r="E29" s="16"/>
      <c r="F29" s="102"/>
      <c r="G29" s="16"/>
      <c r="H29" s="17"/>
      <c r="I29" s="18"/>
    </row>
    <row r="30" spans="1:9" ht="34.5" customHeight="1">
      <c r="A30" s="33"/>
      <c r="B30" s="33" t="s">
        <v>146</v>
      </c>
      <c r="C30" s="16"/>
      <c r="D30" s="16"/>
      <c r="E30" s="16"/>
      <c r="F30" s="102">
        <v>7704.69</v>
      </c>
      <c r="G30" s="16"/>
      <c r="H30" s="17"/>
      <c r="I30" s="18"/>
    </row>
    <row r="31" spans="1:9" ht="18.75">
      <c r="A31" s="33"/>
      <c r="B31" s="33" t="s">
        <v>147</v>
      </c>
      <c r="C31" s="16"/>
      <c r="D31" s="16"/>
      <c r="E31" s="16"/>
      <c r="F31" s="102">
        <v>4150.8</v>
      </c>
      <c r="G31" s="16"/>
      <c r="H31" s="17"/>
      <c r="I31" s="18"/>
    </row>
    <row r="32" spans="1:9" ht="18.75">
      <c r="A32" s="33"/>
      <c r="B32" s="33" t="s">
        <v>148</v>
      </c>
      <c r="C32" s="16"/>
      <c r="D32" s="16"/>
      <c r="E32" s="16"/>
      <c r="F32" s="102">
        <v>381.47</v>
      </c>
      <c r="G32" s="16"/>
      <c r="H32" s="17"/>
      <c r="I32" s="18"/>
    </row>
    <row r="33" spans="1:9" ht="18.75">
      <c r="A33" s="33"/>
      <c r="B33" s="33" t="s">
        <v>149</v>
      </c>
      <c r="C33" s="16"/>
      <c r="D33" s="16"/>
      <c r="E33" s="16"/>
      <c r="F33" s="102"/>
      <c r="G33" s="16"/>
      <c r="H33" s="17"/>
      <c r="I33" s="18"/>
    </row>
    <row r="34" spans="1:9" ht="18.75">
      <c r="A34" s="33"/>
      <c r="B34" s="33" t="s">
        <v>150</v>
      </c>
      <c r="C34" s="16"/>
      <c r="D34" s="16"/>
      <c r="E34" s="16"/>
      <c r="F34" s="102">
        <v>8829.37</v>
      </c>
      <c r="G34" s="16"/>
      <c r="H34" s="17"/>
      <c r="I34" s="18"/>
    </row>
    <row r="35" spans="1:9" ht="37.5">
      <c r="A35" s="33"/>
      <c r="B35" s="33" t="s">
        <v>151</v>
      </c>
      <c r="C35" s="16"/>
      <c r="D35" s="16"/>
      <c r="E35" s="16"/>
      <c r="F35" s="102">
        <v>504.74</v>
      </c>
      <c r="G35" s="16"/>
      <c r="H35" s="17"/>
      <c r="I35" s="18"/>
    </row>
    <row r="36" spans="1:9" ht="18.75">
      <c r="A36" s="33"/>
      <c r="B36" s="33" t="s">
        <v>152</v>
      </c>
      <c r="C36" s="16"/>
      <c r="D36" s="16"/>
      <c r="E36" s="16"/>
      <c r="F36" s="102"/>
      <c r="G36" s="16"/>
      <c r="H36" s="17"/>
      <c r="I36" s="18"/>
    </row>
    <row r="37" spans="1:9" ht="37.5">
      <c r="A37" s="33"/>
      <c r="B37" s="33" t="s">
        <v>153</v>
      </c>
      <c r="C37" s="16"/>
      <c r="D37" s="16"/>
      <c r="E37" s="16"/>
      <c r="F37" s="101">
        <v>15658.64</v>
      </c>
      <c r="G37" s="16"/>
      <c r="H37" s="17"/>
      <c r="I37" s="18"/>
    </row>
    <row r="38" spans="1:9" ht="37.5">
      <c r="A38" s="33"/>
      <c r="B38" s="33" t="s">
        <v>154</v>
      </c>
      <c r="C38" s="16"/>
      <c r="D38" s="16"/>
      <c r="E38" s="16"/>
      <c r="F38" s="102">
        <v>1867.73</v>
      </c>
      <c r="G38" s="16"/>
      <c r="H38" s="17"/>
      <c r="I38" s="18"/>
    </row>
    <row r="39" spans="1:9" ht="18.75">
      <c r="A39" s="48"/>
      <c r="B39" s="33" t="s">
        <v>93</v>
      </c>
      <c r="C39" s="16"/>
      <c r="D39" s="16"/>
      <c r="E39" s="16"/>
      <c r="F39" s="102"/>
      <c r="G39" s="16"/>
      <c r="H39" s="17"/>
      <c r="I39" s="18"/>
    </row>
    <row r="40" spans="1:9" ht="37.5">
      <c r="A40" s="48"/>
      <c r="B40" s="14" t="s">
        <v>155</v>
      </c>
      <c r="C40" s="16"/>
      <c r="D40" s="16"/>
      <c r="E40" s="16"/>
      <c r="F40" s="102">
        <v>11597.64</v>
      </c>
      <c r="G40" s="16"/>
      <c r="H40" s="17"/>
      <c r="I40" s="18"/>
    </row>
    <row r="41" spans="1:9" ht="37.5">
      <c r="A41" s="48"/>
      <c r="B41" s="14" t="s">
        <v>156</v>
      </c>
      <c r="C41" s="16"/>
      <c r="D41" s="16"/>
      <c r="E41" s="16"/>
      <c r="F41" s="102">
        <v>347.8</v>
      </c>
      <c r="G41" s="16"/>
      <c r="H41" s="17"/>
      <c r="I41" s="18"/>
    </row>
    <row r="42" spans="1:9" ht="18.75">
      <c r="A42" s="48"/>
      <c r="B42" s="33" t="s">
        <v>94</v>
      </c>
      <c r="C42" s="16"/>
      <c r="D42" s="16"/>
      <c r="E42" s="16"/>
      <c r="F42" s="102"/>
      <c r="G42" s="16"/>
      <c r="H42" s="17"/>
      <c r="I42" s="18"/>
    </row>
    <row r="43" spans="1:9" ht="37.5">
      <c r="A43" s="48"/>
      <c r="B43" s="14" t="s">
        <v>157</v>
      </c>
      <c r="C43" s="16"/>
      <c r="D43" s="16"/>
      <c r="E43" s="16"/>
      <c r="F43" s="102">
        <v>17900.04</v>
      </c>
      <c r="G43" s="16"/>
      <c r="H43" s="17"/>
      <c r="I43" s="18"/>
    </row>
    <row r="44" spans="1:9" ht="18.75">
      <c r="A44" s="48"/>
      <c r="B44" s="14" t="s">
        <v>158</v>
      </c>
      <c r="C44" s="16"/>
      <c r="D44" s="16"/>
      <c r="E44" s="16"/>
      <c r="F44" s="102">
        <v>3528.83</v>
      </c>
      <c r="G44" s="16"/>
      <c r="H44" s="17"/>
      <c r="I44" s="18"/>
    </row>
    <row r="45" spans="1:9" ht="37.5">
      <c r="A45" s="48"/>
      <c r="B45" s="14" t="s">
        <v>159</v>
      </c>
      <c r="C45" s="16"/>
      <c r="D45" s="16"/>
      <c r="E45" s="16"/>
      <c r="F45" s="102">
        <v>621.03</v>
      </c>
      <c r="G45" s="16"/>
      <c r="H45" s="17"/>
      <c r="I45" s="18"/>
    </row>
    <row r="46" spans="1:9" ht="18.75">
      <c r="A46" s="48"/>
      <c r="B46" s="33" t="s">
        <v>98</v>
      </c>
      <c r="C46" s="16"/>
      <c r="D46" s="16"/>
      <c r="E46" s="16"/>
      <c r="F46" s="102"/>
      <c r="G46" s="16"/>
      <c r="H46" s="17"/>
      <c r="I46" s="18"/>
    </row>
    <row r="47" spans="1:9" ht="37.5">
      <c r="A47" s="48"/>
      <c r="B47" s="14" t="s">
        <v>161</v>
      </c>
      <c r="C47" s="16"/>
      <c r="D47" s="16"/>
      <c r="E47" s="16"/>
      <c r="F47" s="102">
        <v>9000.51</v>
      </c>
      <c r="G47" s="16"/>
      <c r="H47" s="17"/>
      <c r="I47" s="18"/>
    </row>
    <row r="48" spans="1:9" ht="56.25">
      <c r="A48" s="48"/>
      <c r="B48" s="14" t="s">
        <v>160</v>
      </c>
      <c r="C48" s="16"/>
      <c r="D48" s="16"/>
      <c r="E48" s="16"/>
      <c r="F48" s="102">
        <v>6184.73</v>
      </c>
      <c r="G48" s="16"/>
      <c r="H48" s="17"/>
      <c r="I48" s="18"/>
    </row>
    <row r="49" spans="1:9" ht="18.75">
      <c r="A49" s="48"/>
      <c r="B49" s="33" t="s">
        <v>95</v>
      </c>
      <c r="C49" s="16"/>
      <c r="D49" s="16"/>
      <c r="E49" s="16"/>
      <c r="F49" s="102"/>
      <c r="G49" s="16"/>
      <c r="H49" s="17"/>
      <c r="I49" s="18"/>
    </row>
    <row r="50" spans="1:9" ht="18.75">
      <c r="A50" s="48"/>
      <c r="B50" s="14" t="s">
        <v>162</v>
      </c>
      <c r="C50" s="16"/>
      <c r="D50" s="16"/>
      <c r="E50" s="16"/>
      <c r="F50" s="102">
        <v>2989.92</v>
      </c>
      <c r="G50" s="16"/>
      <c r="H50" s="17"/>
      <c r="I50" s="18"/>
    </row>
    <row r="51" spans="1:9" ht="18.75">
      <c r="A51" s="48"/>
      <c r="B51" s="14" t="s">
        <v>163</v>
      </c>
      <c r="C51" s="16"/>
      <c r="D51" s="16"/>
      <c r="E51" s="16"/>
      <c r="F51" s="102">
        <v>745.46</v>
      </c>
      <c r="G51" s="16"/>
      <c r="H51" s="17"/>
      <c r="I51" s="18"/>
    </row>
    <row r="52" spans="1:9" ht="37.5">
      <c r="A52" s="48"/>
      <c r="B52" s="14" t="s">
        <v>164</v>
      </c>
      <c r="C52" s="16"/>
      <c r="D52" s="16"/>
      <c r="E52" s="16"/>
      <c r="F52" s="102">
        <v>550.18</v>
      </c>
      <c r="G52" s="16"/>
      <c r="H52" s="17"/>
      <c r="I52" s="18"/>
    </row>
    <row r="53" spans="1:9" ht="18.75">
      <c r="A53" s="48"/>
      <c r="B53" s="33" t="s">
        <v>96</v>
      </c>
      <c r="C53" s="16"/>
      <c r="D53" s="16"/>
      <c r="E53" s="16"/>
      <c r="F53" s="102"/>
      <c r="G53" s="16"/>
      <c r="H53" s="17"/>
      <c r="I53" s="18"/>
    </row>
    <row r="54" spans="1:9" ht="75">
      <c r="A54" s="48"/>
      <c r="B54" s="14" t="s">
        <v>165</v>
      </c>
      <c r="C54" s="16"/>
      <c r="D54" s="16"/>
      <c r="E54" s="16"/>
      <c r="F54" s="102">
        <v>9303.06</v>
      </c>
      <c r="G54" s="16"/>
      <c r="H54" s="17"/>
      <c r="I54" s="18"/>
    </row>
    <row r="55" spans="1:9" ht="18.75">
      <c r="A55" s="48"/>
      <c r="B55" s="14" t="s">
        <v>166</v>
      </c>
      <c r="C55" s="16"/>
      <c r="D55" s="16"/>
      <c r="E55" s="16"/>
      <c r="F55" s="102">
        <v>518.55</v>
      </c>
      <c r="G55" s="16"/>
      <c r="H55" s="17"/>
      <c r="I55" s="18"/>
    </row>
    <row r="56" spans="1:9" ht="18.75">
      <c r="A56" s="48"/>
      <c r="B56" s="33" t="s">
        <v>97</v>
      </c>
      <c r="C56" s="16"/>
      <c r="D56" s="16"/>
      <c r="E56" s="16"/>
      <c r="F56" s="102"/>
      <c r="G56" s="16"/>
      <c r="H56" s="17"/>
      <c r="I56" s="18"/>
    </row>
    <row r="57" spans="1:9" ht="37.5">
      <c r="A57" s="48"/>
      <c r="B57" s="33" t="s">
        <v>244</v>
      </c>
      <c r="C57" s="16"/>
      <c r="D57" s="16"/>
      <c r="E57" s="16"/>
      <c r="F57" s="102">
        <v>954.86</v>
      </c>
      <c r="G57" s="16"/>
      <c r="H57" s="17"/>
      <c r="I57" s="18"/>
    </row>
    <row r="58" spans="1:9" ht="37.5">
      <c r="A58" s="48"/>
      <c r="B58" s="14" t="s">
        <v>245</v>
      </c>
      <c r="C58" s="16"/>
      <c r="D58" s="16"/>
      <c r="E58" s="16"/>
      <c r="F58" s="102">
        <v>3008.25</v>
      </c>
      <c r="G58" s="16"/>
      <c r="H58" s="17"/>
      <c r="I58" s="18"/>
    </row>
    <row r="59" spans="1:9" ht="56.25">
      <c r="A59" s="48"/>
      <c r="B59" s="14" t="s">
        <v>943</v>
      </c>
      <c r="C59" s="16"/>
      <c r="D59" s="16"/>
      <c r="E59" s="16">
        <f>-33257.61+1357.58</f>
        <v>-31900.03</v>
      </c>
      <c r="F59" s="102">
        <f>E59</f>
        <v>-31900.03</v>
      </c>
      <c r="G59" s="16"/>
      <c r="H59" s="17"/>
      <c r="I59" s="18"/>
    </row>
    <row r="60" spans="1:9" ht="18.75">
      <c r="A60" s="14"/>
      <c r="B60" s="14" t="s">
        <v>9</v>
      </c>
      <c r="C60" s="13">
        <f>SUM(C13:C23)</f>
        <v>9.01</v>
      </c>
      <c r="D60" s="13">
        <f>SUM(D13:D23)</f>
        <v>9.6</v>
      </c>
      <c r="E60" s="16">
        <f>SUM(E13:E39)+E59</f>
        <v>349820.8459999999</v>
      </c>
      <c r="F60" s="101">
        <f>F13+F14+F15+F16+F17+F18</f>
        <v>336233.926</v>
      </c>
      <c r="G60" s="16">
        <f>G13+G14+G15+G16+G17+G18</f>
        <v>393822.72</v>
      </c>
      <c r="H60" s="17">
        <f>1.04993597951*C60</f>
        <v>9.4599231753851</v>
      </c>
      <c r="I60" s="18">
        <v>9.6</v>
      </c>
    </row>
    <row r="61" spans="1:17" ht="18.75">
      <c r="A61" s="33">
        <v>5</v>
      </c>
      <c r="B61" s="25" t="s">
        <v>26</v>
      </c>
      <c r="C61" s="13">
        <v>1.58</v>
      </c>
      <c r="D61" s="13">
        <v>1.85</v>
      </c>
      <c r="E61" s="34">
        <f>SUM(C61:D61)*6*3421.9</f>
        <v>70422.702</v>
      </c>
      <c r="F61" s="101">
        <f>E61</f>
        <v>70422.702</v>
      </c>
      <c r="G61" s="16">
        <f>H61*I61*12</f>
        <v>77608.692</v>
      </c>
      <c r="H61">
        <f>3421.9</f>
        <v>3421.9</v>
      </c>
      <c r="I61" s="2">
        <v>1.89</v>
      </c>
      <c r="O61">
        <f>C7</f>
        <v>3418.6</v>
      </c>
      <c r="P61">
        <f>1.58+1.85</f>
        <v>3.43</v>
      </c>
      <c r="Q61">
        <f>P61/2</f>
        <v>1.715</v>
      </c>
    </row>
    <row r="62" spans="1:8" ht="18.75">
      <c r="A62" s="49"/>
      <c r="B62" s="50"/>
      <c r="C62" s="10"/>
      <c r="D62" s="10"/>
      <c r="E62" s="10"/>
      <c r="F62" s="103"/>
      <c r="G62" s="10"/>
      <c r="H62" s="10"/>
    </row>
    <row r="63" spans="1:8" ht="18.75" customHeight="1">
      <c r="A63" s="179" t="s">
        <v>941</v>
      </c>
      <c r="B63" s="179"/>
      <c r="C63" s="183">
        <v>64406.76</v>
      </c>
      <c r="D63" s="183"/>
      <c r="E63" s="6" t="s">
        <v>18</v>
      </c>
      <c r="F63" s="103"/>
      <c r="G63" s="10"/>
      <c r="H63" s="10"/>
    </row>
    <row r="64" spans="1:8" ht="18.75" customHeight="1">
      <c r="A64" s="179" t="s">
        <v>942</v>
      </c>
      <c r="B64" s="179"/>
      <c r="C64" s="183">
        <v>91019</v>
      </c>
      <c r="D64" s="183"/>
      <c r="E64" s="6" t="s">
        <v>18</v>
      </c>
      <c r="F64" s="10"/>
      <c r="G64" s="10"/>
      <c r="H64" s="10"/>
    </row>
    <row r="65" spans="1:8" ht="18.75">
      <c r="A65" s="180" t="s">
        <v>17</v>
      </c>
      <c r="B65" s="180"/>
      <c r="C65" s="180"/>
      <c r="D65" s="180"/>
      <c r="E65" s="180"/>
      <c r="F65" s="180"/>
      <c r="G65" s="180"/>
      <c r="H65" s="10"/>
    </row>
    <row r="66" spans="1:8" ht="18.75" customHeight="1" hidden="1">
      <c r="A66" s="181" t="s">
        <v>35</v>
      </c>
      <c r="B66" s="181"/>
      <c r="C66" s="5" t="e">
        <f>C63-#REF!</f>
        <v>#REF!</v>
      </c>
      <c r="D66" s="10" t="s">
        <v>18</v>
      </c>
      <c r="E66" s="10"/>
      <c r="F66" s="10"/>
      <c r="G66" s="10"/>
      <c r="H66" s="10"/>
    </row>
    <row r="67" spans="1:8" ht="18.75" customHeight="1" hidden="1">
      <c r="A67" s="181" t="s">
        <v>36</v>
      </c>
      <c r="B67" s="181"/>
      <c r="C67" s="85">
        <f>E60-F60</f>
        <v>13586.919999999925</v>
      </c>
      <c r="D67" s="84" t="str">
        <f>D66</f>
        <v>рублей</v>
      </c>
      <c r="H67" s="28"/>
    </row>
  </sheetData>
  <sheetProtection/>
  <mergeCells count="16">
    <mergeCell ref="A1:G2"/>
    <mergeCell ref="A3:G3"/>
    <mergeCell ref="A4:H5"/>
    <mergeCell ref="C63:D63"/>
    <mergeCell ref="C64:D64"/>
    <mergeCell ref="A67:B67"/>
    <mergeCell ref="A63:B63"/>
    <mergeCell ref="A64:B64"/>
    <mergeCell ref="A66:B66"/>
    <mergeCell ref="A65:G65"/>
    <mergeCell ref="F9:F11"/>
    <mergeCell ref="G9:G11"/>
    <mergeCell ref="A9:A11"/>
    <mergeCell ref="B9:B11"/>
    <mergeCell ref="C9:D10"/>
    <mergeCell ref="E9:E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  <colBreaks count="1" manualBreakCount="1">
    <brk id="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81"/>
  <sheetViews>
    <sheetView view="pageBreakPreview" zoomScale="75" zoomScaleSheetLayoutView="75" zoomScalePageLayoutView="0" workbookViewId="0" topLeftCell="A52">
      <selection activeCell="E61" sqref="E61"/>
    </sheetView>
  </sheetViews>
  <sheetFormatPr defaultColWidth="9.00390625" defaultRowHeight="12.75"/>
  <cols>
    <col min="1" max="1" width="9.375" style="0" bestFit="1" customWidth="1"/>
    <col min="2" max="2" width="47.875" style="0" customWidth="1"/>
    <col min="3" max="3" width="12.25390625" style="0" customWidth="1"/>
    <col min="4" max="4" width="12.875" style="0" customWidth="1"/>
    <col min="5" max="5" width="14.375" style="0" customWidth="1"/>
    <col min="6" max="6" width="15.75390625" style="0" bestFit="1" customWidth="1"/>
    <col min="7" max="7" width="13.375" style="0" bestFit="1" customWidth="1"/>
    <col min="8" max="11" width="9.125" style="0" customWidth="1"/>
  </cols>
  <sheetData>
    <row r="1" spans="1:7" ht="12.75">
      <c r="A1" s="179" t="s">
        <v>25</v>
      </c>
      <c r="B1" s="179"/>
      <c r="C1" s="179"/>
      <c r="D1" s="179"/>
      <c r="E1" s="179"/>
      <c r="F1" s="179"/>
      <c r="G1" s="179"/>
    </row>
    <row r="2" spans="1:7" ht="12.75">
      <c r="A2" s="179"/>
      <c r="B2" s="179"/>
      <c r="C2" s="179"/>
      <c r="D2" s="179"/>
      <c r="E2" s="179"/>
      <c r="F2" s="179"/>
      <c r="G2" s="179"/>
    </row>
    <row r="3" spans="1:7" ht="40.5" customHeight="1">
      <c r="A3" s="182" t="s">
        <v>53</v>
      </c>
      <c r="B3" s="182"/>
      <c r="C3" s="182"/>
      <c r="D3" s="182"/>
      <c r="E3" s="182"/>
      <c r="F3" s="182"/>
      <c r="G3" s="182"/>
    </row>
    <row r="4" spans="1:7" ht="12.75">
      <c r="A4" s="179" t="s">
        <v>110</v>
      </c>
      <c r="B4" s="179"/>
      <c r="C4" s="179"/>
      <c r="D4" s="179"/>
      <c r="E4" s="179"/>
      <c r="F4" s="179"/>
      <c r="G4" s="179"/>
    </row>
    <row r="5" spans="1:7" ht="12.75">
      <c r="A5" s="179"/>
      <c r="B5" s="179"/>
      <c r="C5" s="179"/>
      <c r="D5" s="179"/>
      <c r="E5" s="179"/>
      <c r="F5" s="179"/>
      <c r="G5" s="179"/>
    </row>
    <row r="6" spans="1:7" ht="18.75">
      <c r="A6" s="5"/>
      <c r="B6" s="5"/>
      <c r="C6" s="5"/>
      <c r="D6" s="5"/>
      <c r="E6" s="5"/>
      <c r="F6" s="5"/>
      <c r="G6" s="5"/>
    </row>
    <row r="7" spans="1:7" ht="22.5">
      <c r="A7" s="8"/>
      <c r="B7" s="9" t="s">
        <v>5</v>
      </c>
      <c r="C7" s="5">
        <v>4350.91</v>
      </c>
      <c r="D7" s="5" t="s">
        <v>31</v>
      </c>
      <c r="E7" s="10"/>
      <c r="F7" s="10"/>
      <c r="G7" s="10"/>
    </row>
    <row r="8" spans="1:7" ht="18.75">
      <c r="A8" s="8"/>
      <c r="B8" s="5"/>
      <c r="C8" s="5"/>
      <c r="D8" s="5"/>
      <c r="E8" s="5"/>
      <c r="F8" s="5"/>
      <c r="G8" s="5"/>
    </row>
    <row r="9" spans="1:7" ht="12.75" customHeight="1">
      <c r="A9" s="201" t="s">
        <v>8</v>
      </c>
      <c r="B9" s="201" t="s">
        <v>6</v>
      </c>
      <c r="C9" s="185" t="s">
        <v>32</v>
      </c>
      <c r="D9" s="204"/>
      <c r="E9" s="189" t="s">
        <v>99</v>
      </c>
      <c r="F9" s="189" t="s">
        <v>74</v>
      </c>
      <c r="G9" s="189" t="s">
        <v>218</v>
      </c>
    </row>
    <row r="10" spans="1:7" ht="74.25" customHeight="1">
      <c r="A10" s="202"/>
      <c r="B10" s="202"/>
      <c r="C10" s="187"/>
      <c r="D10" s="205"/>
      <c r="E10" s="190"/>
      <c r="F10" s="190"/>
      <c r="G10" s="190"/>
    </row>
    <row r="11" spans="1:7" ht="92.25" customHeight="1">
      <c r="A11" s="203"/>
      <c r="B11" s="203"/>
      <c r="C11" s="87" t="s">
        <v>107</v>
      </c>
      <c r="D11" s="87" t="s">
        <v>106</v>
      </c>
      <c r="E11" s="191"/>
      <c r="F11" s="191"/>
      <c r="G11" s="191"/>
    </row>
    <row r="12" spans="1:7" ht="56.25">
      <c r="A12" s="42" t="s">
        <v>12</v>
      </c>
      <c r="B12" s="53" t="s">
        <v>20</v>
      </c>
      <c r="C12" s="42"/>
      <c r="D12" s="42"/>
      <c r="E12" s="42"/>
      <c r="F12" s="42"/>
      <c r="G12" s="42"/>
    </row>
    <row r="13" spans="1:10" ht="18.75" customHeight="1">
      <c r="A13" s="42" t="s">
        <v>13</v>
      </c>
      <c r="B13" s="53" t="s">
        <v>10</v>
      </c>
      <c r="C13" s="34">
        <v>1.09</v>
      </c>
      <c r="D13" s="34">
        <v>1.14</v>
      </c>
      <c r="E13" s="32">
        <f aca="true" t="shared" si="0" ref="E13:E18">H13*I13*6</f>
        <v>58215.1758</v>
      </c>
      <c r="F13" s="42">
        <f>E13</f>
        <v>58215.1758</v>
      </c>
      <c r="G13" s="32">
        <f aca="true" t="shared" si="1" ref="G13:G18">J13*12*H13</f>
        <v>59520.4488</v>
      </c>
      <c r="H13">
        <f>C7</f>
        <v>4350.91</v>
      </c>
      <c r="I13" s="22">
        <f aca="true" t="shared" si="2" ref="I13:I18">C13+D13</f>
        <v>2.23</v>
      </c>
      <c r="J13" s="34">
        <v>1.14</v>
      </c>
    </row>
    <row r="14" spans="1:10" ht="37.5">
      <c r="A14" s="42" t="s">
        <v>14</v>
      </c>
      <c r="B14" s="53" t="s">
        <v>15</v>
      </c>
      <c r="C14" s="34">
        <v>1.39</v>
      </c>
      <c r="D14" s="34">
        <v>1.46</v>
      </c>
      <c r="E14" s="32">
        <f t="shared" si="0"/>
        <v>74400.56099999999</v>
      </c>
      <c r="F14" s="42">
        <f>E14</f>
        <v>74400.56099999999</v>
      </c>
      <c r="G14" s="32">
        <f t="shared" si="1"/>
        <v>76227.9432</v>
      </c>
      <c r="H14">
        <f>H13</f>
        <v>4350.91</v>
      </c>
      <c r="I14" s="22">
        <f t="shared" si="2"/>
        <v>2.8499999999999996</v>
      </c>
      <c r="J14" s="34">
        <v>1.46</v>
      </c>
    </row>
    <row r="15" spans="1:10" ht="18.75">
      <c r="A15" s="42" t="s">
        <v>16</v>
      </c>
      <c r="B15" s="53" t="s">
        <v>7</v>
      </c>
      <c r="C15" s="34"/>
      <c r="D15" s="34"/>
      <c r="E15" s="32"/>
      <c r="F15" s="42"/>
      <c r="G15" s="32"/>
      <c r="H15">
        <f>H14</f>
        <v>4350.91</v>
      </c>
      <c r="I15" s="22">
        <f t="shared" si="2"/>
        <v>0</v>
      </c>
      <c r="J15" s="34">
        <v>0</v>
      </c>
    </row>
    <row r="16" spans="1:10" ht="18.75">
      <c r="A16" s="42" t="s">
        <v>21</v>
      </c>
      <c r="B16" s="53" t="s">
        <v>11</v>
      </c>
      <c r="C16" s="34">
        <v>0.82</v>
      </c>
      <c r="D16" s="34">
        <v>0.58</v>
      </c>
      <c r="E16" s="32">
        <f t="shared" si="0"/>
        <v>36547.644</v>
      </c>
      <c r="F16" s="42">
        <f>E16</f>
        <v>36547.644</v>
      </c>
      <c r="G16" s="32">
        <f t="shared" si="1"/>
        <v>30282.333599999994</v>
      </c>
      <c r="H16">
        <f>H15</f>
        <v>4350.91</v>
      </c>
      <c r="I16" s="22">
        <f t="shared" si="2"/>
        <v>1.4</v>
      </c>
      <c r="J16" s="34">
        <v>0.58</v>
      </c>
    </row>
    <row r="17" spans="1:10" ht="18.75">
      <c r="A17" s="42" t="s">
        <v>22</v>
      </c>
      <c r="B17" s="53" t="s">
        <v>19</v>
      </c>
      <c r="C17" s="34">
        <v>1.24</v>
      </c>
      <c r="D17" s="34">
        <v>1.24</v>
      </c>
      <c r="E17" s="32">
        <f t="shared" si="0"/>
        <v>64741.540799999995</v>
      </c>
      <c r="F17" s="42">
        <f>E17</f>
        <v>64741.540799999995</v>
      </c>
      <c r="G17" s="32">
        <f t="shared" si="1"/>
        <v>64741.540799999995</v>
      </c>
      <c r="H17">
        <f>H16</f>
        <v>4350.91</v>
      </c>
      <c r="I17" s="22">
        <f t="shared" si="2"/>
        <v>2.48</v>
      </c>
      <c r="J17" s="34">
        <v>1.24</v>
      </c>
    </row>
    <row r="18" spans="1:10" ht="75">
      <c r="A18" s="42" t="s">
        <v>23</v>
      </c>
      <c r="B18" s="53" t="s">
        <v>24</v>
      </c>
      <c r="C18" s="34">
        <v>4.47</v>
      </c>
      <c r="D18" s="34">
        <v>5.18</v>
      </c>
      <c r="E18" s="32">
        <f t="shared" si="0"/>
        <v>251917.68899999995</v>
      </c>
      <c r="F18" s="99">
        <f>F20+F21+F22+F24+F25+F27+F28+F29+F31+F32+F33+F35+F36+F37+F39+F40+F41+F43+F44+F46+F47+F49+F50+F51+F53+F54+F56+F57+F59+F60</f>
        <v>574609.0200000001</v>
      </c>
      <c r="G18" s="32">
        <f t="shared" si="1"/>
        <v>270452.5656</v>
      </c>
      <c r="H18">
        <f>H17</f>
        <v>4350.91</v>
      </c>
      <c r="I18" s="22">
        <f t="shared" si="2"/>
        <v>9.649999999999999</v>
      </c>
      <c r="J18" s="34">
        <v>5.18</v>
      </c>
    </row>
    <row r="19" spans="1:7" ht="18.75">
      <c r="A19" s="42"/>
      <c r="B19" s="42" t="s">
        <v>75</v>
      </c>
      <c r="C19" s="42"/>
      <c r="D19" s="42"/>
      <c r="E19" s="42"/>
      <c r="F19" s="99"/>
      <c r="G19" s="42"/>
    </row>
    <row r="20" spans="1:7" ht="38.25" customHeight="1">
      <c r="A20" s="42"/>
      <c r="B20" s="53" t="s">
        <v>938</v>
      </c>
      <c r="C20" s="42"/>
      <c r="D20" s="42"/>
      <c r="E20" s="42"/>
      <c r="F20" s="100">
        <v>5930.7</v>
      </c>
      <c r="G20" s="42"/>
    </row>
    <row r="21" spans="1:7" ht="18.75">
      <c r="A21" s="42"/>
      <c r="B21" s="53" t="s">
        <v>87</v>
      </c>
      <c r="C21" s="42"/>
      <c r="D21" s="42"/>
      <c r="E21" s="42"/>
      <c r="F21" s="99">
        <v>222.2</v>
      </c>
      <c r="G21" s="42"/>
    </row>
    <row r="22" spans="1:7" ht="18.75">
      <c r="A22" s="42"/>
      <c r="B22" s="53" t="s">
        <v>30</v>
      </c>
      <c r="C22" s="42"/>
      <c r="D22" s="42"/>
      <c r="E22" s="42"/>
      <c r="F22" s="99">
        <v>103.77</v>
      </c>
      <c r="G22" s="42"/>
    </row>
    <row r="23" spans="1:7" ht="18.75">
      <c r="A23" s="42"/>
      <c r="B23" s="42" t="s">
        <v>88</v>
      </c>
      <c r="C23" s="42"/>
      <c r="D23" s="42"/>
      <c r="E23" s="42"/>
      <c r="F23" s="99"/>
      <c r="G23" s="42"/>
    </row>
    <row r="24" spans="1:7" ht="18.75">
      <c r="A24" s="42"/>
      <c r="B24" s="53" t="s">
        <v>829</v>
      </c>
      <c r="C24" s="42"/>
      <c r="D24" s="42"/>
      <c r="E24" s="42"/>
      <c r="F24" s="99">
        <v>1494.96</v>
      </c>
      <c r="G24" s="42"/>
    </row>
    <row r="25" spans="1:7" ht="37.5">
      <c r="A25" s="42"/>
      <c r="B25" s="53" t="s">
        <v>830</v>
      </c>
      <c r="C25" s="42"/>
      <c r="D25" s="42"/>
      <c r="E25" s="42"/>
      <c r="F25" s="99">
        <v>145053.64</v>
      </c>
      <c r="G25" s="42"/>
    </row>
    <row r="26" spans="1:7" ht="18.75">
      <c r="A26" s="42"/>
      <c r="B26" s="42" t="s">
        <v>514</v>
      </c>
      <c r="C26" s="42"/>
      <c r="D26" s="42"/>
      <c r="E26" s="42"/>
      <c r="F26" s="99"/>
      <c r="G26" s="42"/>
    </row>
    <row r="27" spans="1:7" ht="56.25">
      <c r="A27" s="42"/>
      <c r="B27" s="53" t="s">
        <v>831</v>
      </c>
      <c r="C27" s="42"/>
      <c r="D27" s="42"/>
      <c r="E27" s="42"/>
      <c r="F27" s="99">
        <v>5987.82</v>
      </c>
      <c r="G27" s="42"/>
    </row>
    <row r="28" spans="1:7" ht="18.75">
      <c r="A28" s="42"/>
      <c r="B28" s="53" t="s">
        <v>832</v>
      </c>
      <c r="C28" s="42"/>
      <c r="D28" s="42"/>
      <c r="E28" s="42"/>
      <c r="F28" s="99">
        <v>76442.63</v>
      </c>
      <c r="G28" s="42"/>
    </row>
    <row r="29" spans="1:7" ht="18.75">
      <c r="A29" s="42"/>
      <c r="B29" s="53" t="s">
        <v>511</v>
      </c>
      <c r="C29" s="42"/>
      <c r="D29" s="42"/>
      <c r="E29" s="42"/>
      <c r="F29" s="99">
        <v>341.5</v>
      </c>
      <c r="G29" s="42"/>
    </row>
    <row r="30" spans="1:7" ht="18.75">
      <c r="A30" s="42"/>
      <c r="B30" s="42" t="s">
        <v>371</v>
      </c>
      <c r="C30" s="42"/>
      <c r="D30" s="42"/>
      <c r="E30" s="42"/>
      <c r="F30" s="99"/>
      <c r="G30" s="42"/>
    </row>
    <row r="31" spans="1:7" ht="93.75">
      <c r="A31" s="42"/>
      <c r="B31" s="53" t="s">
        <v>833</v>
      </c>
      <c r="C31" s="42"/>
      <c r="D31" s="42"/>
      <c r="E31" s="42"/>
      <c r="F31" s="99">
        <v>22365.03</v>
      </c>
      <c r="G31" s="42"/>
    </row>
    <row r="32" spans="1:7" ht="18.75">
      <c r="A32" s="42"/>
      <c r="B32" s="53" t="s">
        <v>834</v>
      </c>
      <c r="C32" s="42"/>
      <c r="D32" s="42"/>
      <c r="E32" s="42"/>
      <c r="F32" s="99">
        <v>99924.85</v>
      </c>
      <c r="G32" s="42"/>
    </row>
    <row r="33" spans="1:7" ht="18.75">
      <c r="A33" s="42"/>
      <c r="B33" s="53" t="s">
        <v>835</v>
      </c>
      <c r="C33" s="42"/>
      <c r="D33" s="42"/>
      <c r="E33" s="42"/>
      <c r="F33" s="99">
        <v>285.96</v>
      </c>
      <c r="G33" s="42"/>
    </row>
    <row r="34" spans="1:7" ht="18.75">
      <c r="A34" s="42"/>
      <c r="B34" s="42" t="s">
        <v>539</v>
      </c>
      <c r="C34" s="42"/>
      <c r="D34" s="42"/>
      <c r="E34" s="42"/>
      <c r="F34" s="99"/>
      <c r="G34" s="42"/>
    </row>
    <row r="35" spans="1:7" ht="56.25">
      <c r="A35" s="42"/>
      <c r="B35" s="53" t="s">
        <v>836</v>
      </c>
      <c r="C35" s="42"/>
      <c r="D35" s="42"/>
      <c r="E35" s="42"/>
      <c r="F35" s="99">
        <v>116258.75</v>
      </c>
      <c r="G35" s="42"/>
    </row>
    <row r="36" spans="1:7" ht="18.75">
      <c r="A36" s="42"/>
      <c r="B36" s="53" t="s">
        <v>440</v>
      </c>
      <c r="C36" s="42"/>
      <c r="D36" s="42"/>
      <c r="E36" s="42"/>
      <c r="F36" s="99">
        <v>46884.32</v>
      </c>
      <c r="G36" s="42"/>
    </row>
    <row r="37" spans="1:7" ht="18.75">
      <c r="A37" s="42"/>
      <c r="B37" s="53" t="s">
        <v>684</v>
      </c>
      <c r="C37" s="42"/>
      <c r="D37" s="42"/>
      <c r="E37" s="42"/>
      <c r="F37" s="99">
        <v>413.2</v>
      </c>
      <c r="G37" s="42"/>
    </row>
    <row r="38" spans="1:7" ht="18.75">
      <c r="A38" s="42"/>
      <c r="B38" s="42" t="s">
        <v>124</v>
      </c>
      <c r="C38" s="42"/>
      <c r="D38" s="42"/>
      <c r="E38" s="42"/>
      <c r="F38" s="99"/>
      <c r="G38" s="42"/>
    </row>
    <row r="39" spans="1:7" ht="37.5">
      <c r="A39" s="42"/>
      <c r="B39" s="53" t="s">
        <v>837</v>
      </c>
      <c r="C39" s="42"/>
      <c r="D39" s="42"/>
      <c r="E39" s="42"/>
      <c r="F39" s="99">
        <v>6633.72</v>
      </c>
      <c r="G39" s="42"/>
    </row>
    <row r="40" spans="1:7" ht="18.75">
      <c r="A40" s="42"/>
      <c r="B40" s="53" t="s">
        <v>838</v>
      </c>
      <c r="C40" s="42"/>
      <c r="D40" s="42"/>
      <c r="E40" s="42"/>
      <c r="F40" s="99">
        <v>1341.95</v>
      </c>
      <c r="G40" s="42"/>
    </row>
    <row r="41" spans="1:7" ht="56.25">
      <c r="A41" s="42"/>
      <c r="B41" s="53" t="s">
        <v>839</v>
      </c>
      <c r="C41" s="42"/>
      <c r="D41" s="42"/>
      <c r="E41" s="42"/>
      <c r="F41" s="99">
        <v>3545.93</v>
      </c>
      <c r="G41" s="42"/>
    </row>
    <row r="42" spans="1:7" ht="18.75">
      <c r="A42" s="42"/>
      <c r="B42" s="42" t="s">
        <v>93</v>
      </c>
      <c r="C42" s="42"/>
      <c r="D42" s="42"/>
      <c r="E42" s="42"/>
      <c r="F42" s="99"/>
      <c r="G42" s="42"/>
    </row>
    <row r="43" spans="1:7" ht="37.5">
      <c r="A43" s="42"/>
      <c r="B43" s="53" t="s">
        <v>840</v>
      </c>
      <c r="C43" s="42"/>
      <c r="D43" s="42"/>
      <c r="E43" s="42"/>
      <c r="F43" s="99">
        <v>10719.75</v>
      </c>
      <c r="G43" s="42"/>
    </row>
    <row r="44" spans="1:7" ht="18.75">
      <c r="A44" s="42"/>
      <c r="B44" s="53" t="s">
        <v>841</v>
      </c>
      <c r="C44" s="42"/>
      <c r="D44" s="42"/>
      <c r="E44" s="42"/>
      <c r="F44" s="99">
        <v>280.62</v>
      </c>
      <c r="G44" s="42"/>
    </row>
    <row r="45" spans="1:7" ht="18.75">
      <c r="A45" s="42"/>
      <c r="B45" s="42" t="s">
        <v>94</v>
      </c>
      <c r="C45" s="42"/>
      <c r="D45" s="42"/>
      <c r="E45" s="42"/>
      <c r="F45" s="99"/>
      <c r="G45" s="42"/>
    </row>
    <row r="46" spans="1:7" ht="18.75">
      <c r="A46" s="42"/>
      <c r="B46" s="53" t="s">
        <v>842</v>
      </c>
      <c r="C46" s="42"/>
      <c r="D46" s="42"/>
      <c r="E46" s="42"/>
      <c r="F46" s="99">
        <v>9887.55</v>
      </c>
      <c r="G46" s="42"/>
    </row>
    <row r="47" spans="1:7" ht="18.75">
      <c r="A47" s="42"/>
      <c r="B47" s="53" t="s">
        <v>307</v>
      </c>
      <c r="C47" s="42"/>
      <c r="D47" s="42"/>
      <c r="E47" s="42"/>
      <c r="F47" s="99">
        <v>220.93</v>
      </c>
      <c r="G47" s="42"/>
    </row>
    <row r="48" spans="1:7" ht="18.75">
      <c r="A48" s="42"/>
      <c r="B48" s="42" t="s">
        <v>98</v>
      </c>
      <c r="C48" s="42"/>
      <c r="D48" s="42"/>
      <c r="E48" s="42"/>
      <c r="F48" s="99"/>
      <c r="G48" s="42"/>
    </row>
    <row r="49" spans="1:7" ht="18.75">
      <c r="A49" s="42"/>
      <c r="B49" s="53" t="s">
        <v>843</v>
      </c>
      <c r="C49" s="42"/>
      <c r="D49" s="42"/>
      <c r="E49" s="42"/>
      <c r="F49" s="99">
        <v>498.32</v>
      </c>
      <c r="G49" s="42"/>
    </row>
    <row r="50" spans="1:7" ht="27.75" customHeight="1">
      <c r="A50" s="42"/>
      <c r="B50" s="53" t="s">
        <v>844</v>
      </c>
      <c r="C50" s="42"/>
      <c r="D50" s="42"/>
      <c r="E50" s="42"/>
      <c r="F50" s="99">
        <v>266</v>
      </c>
      <c r="G50" s="42"/>
    </row>
    <row r="51" spans="1:7" ht="21.75" customHeight="1">
      <c r="A51" s="42"/>
      <c r="B51" s="53" t="s">
        <v>845</v>
      </c>
      <c r="C51" s="42"/>
      <c r="D51" s="42"/>
      <c r="E51" s="42"/>
      <c r="F51" s="99">
        <v>103.77</v>
      </c>
      <c r="G51" s="42"/>
    </row>
    <row r="52" spans="1:7" ht="18.75">
      <c r="A52" s="42"/>
      <c r="B52" s="42" t="s">
        <v>95</v>
      </c>
      <c r="C52" s="42"/>
      <c r="D52" s="42"/>
      <c r="E52" s="42"/>
      <c r="F52" s="99"/>
      <c r="G52" s="42"/>
    </row>
    <row r="53" spans="1:7" ht="63" customHeight="1">
      <c r="A53" s="42"/>
      <c r="B53" s="53" t="s">
        <v>846</v>
      </c>
      <c r="C53" s="42"/>
      <c r="D53" s="42"/>
      <c r="E53" s="42"/>
      <c r="F53" s="99">
        <v>6346.17</v>
      </c>
      <c r="G53" s="42"/>
    </row>
    <row r="54" spans="1:7" ht="18.75">
      <c r="A54" s="42"/>
      <c r="B54" s="53" t="s">
        <v>847</v>
      </c>
      <c r="C54" s="42"/>
      <c r="D54" s="42"/>
      <c r="E54" s="42"/>
      <c r="F54" s="99">
        <v>331.08</v>
      </c>
      <c r="G54" s="42"/>
    </row>
    <row r="55" spans="1:7" ht="18.75">
      <c r="A55" s="42"/>
      <c r="B55" s="42" t="s">
        <v>96</v>
      </c>
      <c r="C55" s="42"/>
      <c r="D55" s="42"/>
      <c r="E55" s="42"/>
      <c r="F55" s="99"/>
      <c r="G55" s="42"/>
    </row>
    <row r="56" spans="1:7" ht="37.5">
      <c r="A56" s="42"/>
      <c r="B56" s="53" t="s">
        <v>848</v>
      </c>
      <c r="C56" s="42"/>
      <c r="D56" s="42"/>
      <c r="E56" s="42"/>
      <c r="F56" s="99">
        <v>6333.95</v>
      </c>
      <c r="G56" s="42"/>
    </row>
    <row r="57" spans="1:7" ht="18.75">
      <c r="A57" s="42"/>
      <c r="B57" s="53" t="s">
        <v>849</v>
      </c>
      <c r="C57" s="42"/>
      <c r="D57" s="42"/>
      <c r="E57" s="42"/>
      <c r="F57" s="99">
        <v>450.01</v>
      </c>
      <c r="G57" s="42"/>
    </row>
    <row r="58" spans="1:7" ht="18.75">
      <c r="A58" s="42"/>
      <c r="B58" s="42" t="s">
        <v>97</v>
      </c>
      <c r="C58" s="42"/>
      <c r="D58" s="42"/>
      <c r="E58" s="42"/>
      <c r="F58" s="99"/>
      <c r="G58" s="42"/>
    </row>
    <row r="59" spans="1:7" ht="38.25" customHeight="1">
      <c r="A59" s="42"/>
      <c r="B59" s="53" t="s">
        <v>850</v>
      </c>
      <c r="C59" s="42"/>
      <c r="D59" s="42"/>
      <c r="E59" s="42"/>
      <c r="F59" s="99">
        <v>3927.68</v>
      </c>
      <c r="G59" s="42"/>
    </row>
    <row r="60" spans="1:7" ht="37.5">
      <c r="A60" s="42"/>
      <c r="B60" s="53" t="s">
        <v>851</v>
      </c>
      <c r="C60" s="42"/>
      <c r="D60" s="42"/>
      <c r="E60" s="42"/>
      <c r="F60" s="99">
        <v>2012.26</v>
      </c>
      <c r="G60" s="42"/>
    </row>
    <row r="61" spans="1:7" ht="75">
      <c r="A61" s="42"/>
      <c r="B61" s="14" t="s">
        <v>943</v>
      </c>
      <c r="C61" s="42"/>
      <c r="D61" s="42"/>
      <c r="E61" s="42">
        <v>-13293.48</v>
      </c>
      <c r="F61" s="99">
        <f>E61</f>
        <v>-13293.48</v>
      </c>
      <c r="G61" s="42"/>
    </row>
    <row r="62" spans="1:7" ht="18.75">
      <c r="A62" s="53"/>
      <c r="B62" s="53" t="s">
        <v>9</v>
      </c>
      <c r="C62" s="42">
        <f>SUM(C13:C43)</f>
        <v>9.01</v>
      </c>
      <c r="D62" s="42">
        <f>SUM(D13:D43)</f>
        <v>9.6</v>
      </c>
      <c r="E62" s="42">
        <f>SUM(E13:E43)+E61</f>
        <v>472529.1305999999</v>
      </c>
      <c r="F62" s="99">
        <f>F13+F14+F15+F16+F17+F18+F61</f>
        <v>795220.4616000002</v>
      </c>
      <c r="G62" s="42">
        <f>SUM(G13:G60)</f>
        <v>501224.83199999994</v>
      </c>
    </row>
    <row r="63" spans="1:10" ht="18.75">
      <c r="A63" s="13">
        <v>5</v>
      </c>
      <c r="B63" s="54" t="s">
        <v>26</v>
      </c>
      <c r="C63" s="108">
        <v>1.58</v>
      </c>
      <c r="D63" s="108">
        <v>1.85</v>
      </c>
      <c r="E63" s="98">
        <f>H63*I63*6</f>
        <v>89541.72780000001</v>
      </c>
      <c r="F63" s="101">
        <f>E63</f>
        <v>89541.72780000001</v>
      </c>
      <c r="G63" s="101">
        <f>J63*12*H63</f>
        <v>98678.6388</v>
      </c>
      <c r="H63" s="69">
        <f>C7</f>
        <v>4350.91</v>
      </c>
      <c r="I63" s="22">
        <f>C63+D63</f>
        <v>3.43</v>
      </c>
      <c r="J63" s="34">
        <v>1.89</v>
      </c>
    </row>
    <row r="64" spans="1:7" ht="18.75">
      <c r="A64" s="55"/>
      <c r="B64" s="56"/>
      <c r="C64" s="55"/>
      <c r="D64" s="55"/>
      <c r="E64" s="55"/>
      <c r="F64" s="55"/>
      <c r="G64" s="55"/>
    </row>
    <row r="65" spans="1:7" ht="18.75" customHeight="1">
      <c r="A65" s="179" t="s">
        <v>941</v>
      </c>
      <c r="B65" s="179"/>
      <c r="C65" s="193">
        <v>56426.31</v>
      </c>
      <c r="D65" s="193"/>
      <c r="E65" s="55" t="s">
        <v>18</v>
      </c>
      <c r="F65" s="55"/>
      <c r="G65" s="55"/>
    </row>
    <row r="66" spans="1:7" ht="18.75" customHeight="1">
      <c r="A66" s="179" t="s">
        <v>942</v>
      </c>
      <c r="B66" s="179"/>
      <c r="C66" s="193">
        <v>57337.11</v>
      </c>
      <c r="D66" s="193"/>
      <c r="E66" s="55" t="s">
        <v>18</v>
      </c>
      <c r="F66" s="55"/>
      <c r="G66" s="55"/>
    </row>
    <row r="67" spans="1:7" ht="18.75">
      <c r="A67" s="207" t="s">
        <v>17</v>
      </c>
      <c r="B67" s="207"/>
      <c r="C67" s="207"/>
      <c r="D67" s="207"/>
      <c r="E67" s="207"/>
      <c r="F67" s="207"/>
      <c r="G67" s="207"/>
    </row>
    <row r="68" spans="1:7" ht="18.75" customHeight="1" hidden="1">
      <c r="A68" s="206" t="s">
        <v>35</v>
      </c>
      <c r="B68" s="206"/>
      <c r="C68" s="52" t="e">
        <f>C65-#REF!</f>
        <v>#REF!</v>
      </c>
      <c r="D68" s="55" t="s">
        <v>18</v>
      </c>
      <c r="E68" s="55"/>
      <c r="F68" s="55"/>
      <c r="G68" s="55"/>
    </row>
    <row r="69" spans="1:7" ht="18.75" customHeight="1" hidden="1">
      <c r="A69" s="206" t="s">
        <v>36</v>
      </c>
      <c r="B69" s="206"/>
      <c r="C69" s="96">
        <f>E62-F62</f>
        <v>-322691.33100000024</v>
      </c>
      <c r="D69" s="96" t="str">
        <f>D68</f>
        <v>рублей</v>
      </c>
      <c r="E69" s="58"/>
      <c r="F69" s="58"/>
      <c r="G69" s="58"/>
    </row>
    <row r="70" spans="1:7" ht="12.75">
      <c r="A70" s="58"/>
      <c r="B70" s="58"/>
      <c r="C70" s="58"/>
      <c r="D70" s="58"/>
      <c r="E70" s="58"/>
      <c r="F70" s="58"/>
      <c r="G70" s="58"/>
    </row>
    <row r="71" spans="1:7" ht="12.75">
      <c r="A71" s="58"/>
      <c r="B71" s="58"/>
      <c r="C71" s="58"/>
      <c r="D71" s="58"/>
      <c r="E71" s="58"/>
      <c r="F71" s="58"/>
      <c r="G71" s="58"/>
    </row>
    <row r="72" spans="1:7" ht="12.75">
      <c r="A72" s="58"/>
      <c r="B72" s="58"/>
      <c r="C72" s="58"/>
      <c r="D72" s="58"/>
      <c r="E72" s="58"/>
      <c r="F72" s="58"/>
      <c r="G72" s="58"/>
    </row>
    <row r="73" spans="1:7" ht="12.75">
      <c r="A73" s="58"/>
      <c r="B73" s="58"/>
      <c r="C73" s="58"/>
      <c r="D73" s="58"/>
      <c r="E73" s="58"/>
      <c r="F73" s="58"/>
      <c r="G73" s="58"/>
    </row>
    <row r="74" spans="1:7" ht="12.75">
      <c r="A74" s="58"/>
      <c r="B74" s="58"/>
      <c r="C74" s="58"/>
      <c r="D74" s="58"/>
      <c r="E74" s="58"/>
      <c r="F74" s="58"/>
      <c r="G74" s="58"/>
    </row>
    <row r="75" spans="1:7" ht="12.75">
      <c r="A75" s="58"/>
      <c r="B75" s="58"/>
      <c r="C75" s="58"/>
      <c r="D75" s="58"/>
      <c r="E75" s="58"/>
      <c r="F75" s="58"/>
      <c r="G75" s="58"/>
    </row>
    <row r="76" spans="1:7" ht="12.75">
      <c r="A76" s="58"/>
      <c r="B76" s="58"/>
      <c r="C76" s="58"/>
      <c r="D76" s="58"/>
      <c r="E76" s="58"/>
      <c r="F76" s="58"/>
      <c r="G76" s="58"/>
    </row>
    <row r="77" spans="1:7" ht="12.75">
      <c r="A77" s="58"/>
      <c r="B77" s="58"/>
      <c r="C77" s="58"/>
      <c r="D77" s="58"/>
      <c r="E77" s="58"/>
      <c r="F77" s="58"/>
      <c r="G77" s="58"/>
    </row>
    <row r="78" spans="1:7" ht="12.75">
      <c r="A78" s="58"/>
      <c r="B78" s="58"/>
      <c r="C78" s="58"/>
      <c r="D78" s="58"/>
      <c r="E78" s="58"/>
      <c r="F78" s="58"/>
      <c r="G78" s="58"/>
    </row>
    <row r="79" spans="1:7" ht="12.75">
      <c r="A79" s="58"/>
      <c r="B79" s="58"/>
      <c r="C79" s="58"/>
      <c r="D79" s="58"/>
      <c r="E79" s="58"/>
      <c r="F79" s="58"/>
      <c r="G79" s="58"/>
    </row>
    <row r="80" spans="1:7" ht="12.75">
      <c r="A80" s="58"/>
      <c r="B80" s="58"/>
      <c r="C80" s="58"/>
      <c r="D80" s="58"/>
      <c r="E80" s="58"/>
      <c r="F80" s="58"/>
      <c r="G80" s="58"/>
    </row>
    <row r="81" spans="1:7" ht="12.75">
      <c r="A81" s="58"/>
      <c r="B81" s="58"/>
      <c r="C81" s="58"/>
      <c r="D81" s="58"/>
      <c r="E81" s="58"/>
      <c r="F81" s="58"/>
      <c r="G81" s="58"/>
    </row>
  </sheetData>
  <sheetProtection/>
  <mergeCells count="16">
    <mergeCell ref="A1:G2"/>
    <mergeCell ref="A3:G3"/>
    <mergeCell ref="A4:G5"/>
    <mergeCell ref="F9:F11"/>
    <mergeCell ref="G9:G11"/>
    <mergeCell ref="A9:A11"/>
    <mergeCell ref="B9:B11"/>
    <mergeCell ref="C9:D10"/>
    <mergeCell ref="E9:E11"/>
    <mergeCell ref="A65:B65"/>
    <mergeCell ref="A66:B66"/>
    <mergeCell ref="A67:G67"/>
    <mergeCell ref="A68:B68"/>
    <mergeCell ref="A69:B69"/>
    <mergeCell ref="C65:D65"/>
    <mergeCell ref="C66:D6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  <rowBreaks count="1" manualBreakCount="1">
    <brk id="33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F381"/>
  <sheetViews>
    <sheetView view="pageBreakPreview" zoomScale="75" zoomScaleSheetLayoutView="75" zoomScalePageLayoutView="0" workbookViewId="0" topLeftCell="A40">
      <selection activeCell="F63" sqref="F63"/>
    </sheetView>
  </sheetViews>
  <sheetFormatPr defaultColWidth="9.00390625" defaultRowHeight="12.75"/>
  <cols>
    <col min="1" max="1" width="9.375" style="0" bestFit="1" customWidth="1"/>
    <col min="2" max="2" width="70.00390625" style="0" customWidth="1"/>
    <col min="3" max="3" width="12.25390625" style="0" customWidth="1"/>
    <col min="4" max="4" width="12.75390625" style="0" customWidth="1"/>
    <col min="5" max="5" width="13.375" style="0" customWidth="1"/>
    <col min="6" max="6" width="15.75390625" style="0" bestFit="1" customWidth="1"/>
    <col min="7" max="7" width="13.375" style="0" bestFit="1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1" width="9.25390625" style="0" hidden="1" customWidth="1"/>
    <col min="22" max="26" width="11.00390625" style="0" hidden="1" customWidth="1"/>
    <col min="27" max="29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34.5" customHeight="1">
      <c r="A3" s="182" t="s">
        <v>54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4376.2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201" t="s">
        <v>8</v>
      </c>
      <c r="B9" s="201" t="s">
        <v>6</v>
      </c>
      <c r="C9" s="185" t="s">
        <v>32</v>
      </c>
      <c r="D9" s="204"/>
      <c r="E9" s="189" t="s">
        <v>99</v>
      </c>
      <c r="F9" s="189" t="s">
        <v>74</v>
      </c>
      <c r="G9" s="189" t="s">
        <v>218</v>
      </c>
      <c r="H9" s="11"/>
      <c r="I9" s="2"/>
      <c r="J9" s="197" t="s">
        <v>33</v>
      </c>
      <c r="K9" s="208"/>
      <c r="L9" s="208"/>
      <c r="M9" s="208"/>
      <c r="N9" s="208"/>
      <c r="O9" s="208"/>
      <c r="P9" s="208"/>
      <c r="Q9" s="208"/>
      <c r="R9" s="199" t="s">
        <v>34</v>
      </c>
      <c r="S9" s="199"/>
      <c r="T9" s="199"/>
      <c r="U9" s="199"/>
      <c r="V9" s="199"/>
      <c r="W9" s="199"/>
      <c r="X9" s="199"/>
    </row>
    <row r="10" spans="1:24" ht="61.5" customHeight="1">
      <c r="A10" s="202"/>
      <c r="B10" s="202"/>
      <c r="C10" s="187"/>
      <c r="D10" s="205"/>
      <c r="E10" s="190"/>
      <c r="F10" s="190"/>
      <c r="G10" s="190"/>
      <c r="H10" s="12"/>
      <c r="I10" s="2"/>
      <c r="J10" s="197"/>
      <c r="K10" s="208"/>
      <c r="L10" s="208"/>
      <c r="M10" s="208"/>
      <c r="N10" s="208"/>
      <c r="O10" s="208"/>
      <c r="P10" s="208"/>
      <c r="Q10" s="208"/>
      <c r="R10" s="199"/>
      <c r="S10" s="199"/>
      <c r="T10" s="199"/>
      <c r="U10" s="199"/>
      <c r="V10" s="199"/>
      <c r="W10" s="199"/>
      <c r="X10" s="199"/>
    </row>
    <row r="11" spans="1:24" ht="96" customHeight="1">
      <c r="A11" s="203"/>
      <c r="B11" s="203"/>
      <c r="C11" s="87" t="s">
        <v>107</v>
      </c>
      <c r="D11" s="87" t="s">
        <v>106</v>
      </c>
      <c r="E11" s="191"/>
      <c r="F11" s="191"/>
      <c r="G11" s="191"/>
      <c r="H11" s="12"/>
      <c r="I11" s="2"/>
      <c r="J11" s="197"/>
      <c r="K11" s="208"/>
      <c r="L11" s="208"/>
      <c r="M11" s="208"/>
      <c r="N11" s="208"/>
      <c r="O11" s="208"/>
      <c r="P11" s="208"/>
      <c r="Q11" s="208"/>
      <c r="R11" s="199"/>
      <c r="S11" s="199"/>
      <c r="T11" s="199"/>
      <c r="U11" s="199"/>
      <c r="V11" s="199"/>
      <c r="W11" s="199"/>
      <c r="X11" s="199"/>
    </row>
    <row r="12" spans="1:24" ht="43.5" customHeight="1">
      <c r="A12" s="42" t="s">
        <v>12</v>
      </c>
      <c r="B12" s="53" t="s">
        <v>20</v>
      </c>
      <c r="C12" s="42"/>
      <c r="D12" s="42"/>
      <c r="E12" s="42"/>
      <c r="F12" s="42"/>
      <c r="G12" s="42"/>
      <c r="H12" s="12"/>
      <c r="I12" s="2"/>
      <c r="J12" s="197"/>
      <c r="K12" s="208"/>
      <c r="L12" s="208"/>
      <c r="M12" s="208"/>
      <c r="N12" s="208"/>
      <c r="O12" s="208"/>
      <c r="P12" s="208"/>
      <c r="Q12" s="208"/>
      <c r="R12" s="199"/>
      <c r="S12" s="199"/>
      <c r="T12" s="199"/>
      <c r="U12" s="199"/>
      <c r="V12" s="199"/>
      <c r="W12" s="199"/>
      <c r="X12" s="199"/>
    </row>
    <row r="13" spans="1:32" ht="18.75">
      <c r="A13" s="42" t="s">
        <v>13</v>
      </c>
      <c r="B13" s="53" t="s">
        <v>10</v>
      </c>
      <c r="C13" s="34">
        <v>1.09</v>
      </c>
      <c r="D13" s="34">
        <v>1.14</v>
      </c>
      <c r="E13" s="32">
        <f aca="true" t="shared" si="0" ref="E13:E18">AD13*AE13*6</f>
        <v>58553.556</v>
      </c>
      <c r="F13" s="42">
        <f>E13</f>
        <v>58553.556</v>
      </c>
      <c r="G13" s="42">
        <f aca="true" t="shared" si="1" ref="G13:G18">AD13*AF13*12</f>
        <v>59866.416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4376.2</v>
      </c>
      <c r="K13">
        <v>6</v>
      </c>
      <c r="L13">
        <v>2</v>
      </c>
      <c r="M13">
        <v>4</v>
      </c>
      <c r="N13" s="20">
        <f aca="true" t="shared" si="4" ref="N13:N18">C13*J13*K13</f>
        <v>28620.347999999998</v>
      </c>
      <c r="O13" s="20" t="e">
        <f>J13*#REF!*L13</f>
        <v>#REF!</v>
      </c>
      <c r="P13" s="20">
        <f aca="true" t="shared" si="5" ref="P13:P18">D13*J13*M13</f>
        <v>19955.471999999998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27570.06</v>
      </c>
      <c r="W13">
        <f aca="true" t="shared" si="8" ref="W13:W18">U13*S13*J13</f>
        <v>28620.348</v>
      </c>
      <c r="X13">
        <f aca="true" t="shared" si="9" ref="X13:X18">SUM(V13:W13)</f>
        <v>56190.408</v>
      </c>
      <c r="AD13">
        <f>C7</f>
        <v>4376.2</v>
      </c>
      <c r="AE13" s="22">
        <f aca="true" t="shared" si="10" ref="AE13:AE18">C13+D13</f>
        <v>2.23</v>
      </c>
      <c r="AF13" s="34">
        <v>1.14</v>
      </c>
    </row>
    <row r="14" spans="1:32" ht="23.25" customHeight="1">
      <c r="A14" s="42" t="s">
        <v>14</v>
      </c>
      <c r="B14" s="53" t="s">
        <v>15</v>
      </c>
      <c r="C14" s="34">
        <v>1.39</v>
      </c>
      <c r="D14" s="34">
        <v>1.46</v>
      </c>
      <c r="E14" s="32">
        <f t="shared" si="0"/>
        <v>74833.01999999999</v>
      </c>
      <c r="F14" s="42">
        <f>E14</f>
        <v>74833.01999999999</v>
      </c>
      <c r="G14" s="42">
        <f t="shared" si="1"/>
        <v>76671.02399999999</v>
      </c>
      <c r="H14" s="17">
        <f t="shared" si="2"/>
        <v>1.4594110115189</v>
      </c>
      <c r="I14" s="18">
        <f t="shared" si="3"/>
        <v>1.5572983354607999</v>
      </c>
      <c r="J14" s="19">
        <f>J13</f>
        <v>4376.2</v>
      </c>
      <c r="K14">
        <v>6</v>
      </c>
      <c r="L14">
        <v>2</v>
      </c>
      <c r="M14">
        <v>4</v>
      </c>
      <c r="N14" s="20">
        <f t="shared" si="4"/>
        <v>36497.508</v>
      </c>
      <c r="O14" s="20" t="e">
        <f>J14*#REF!*L14</f>
        <v>#REF!</v>
      </c>
      <c r="P14" s="20">
        <f t="shared" si="5"/>
        <v>25557.007999999998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34922.076</v>
      </c>
      <c r="W14">
        <f t="shared" si="8"/>
        <v>36497.507999999994</v>
      </c>
      <c r="X14">
        <f t="shared" si="9"/>
        <v>71419.584</v>
      </c>
      <c r="AD14">
        <f>AD13</f>
        <v>4376.2</v>
      </c>
      <c r="AE14" s="22">
        <f t="shared" si="10"/>
        <v>2.8499999999999996</v>
      </c>
      <c r="AF14" s="34">
        <v>1.46</v>
      </c>
    </row>
    <row r="15" spans="1:32" ht="18.75">
      <c r="A15" s="42" t="s">
        <v>16</v>
      </c>
      <c r="B15" s="53" t="s">
        <v>7</v>
      </c>
      <c r="C15" s="34"/>
      <c r="D15" s="34"/>
      <c r="E15" s="32"/>
      <c r="F15" s="42"/>
      <c r="G15" s="42"/>
      <c r="H15" s="17">
        <f t="shared" si="2"/>
        <v>0</v>
      </c>
      <c r="I15" s="18">
        <f t="shared" si="3"/>
        <v>0</v>
      </c>
      <c r="J15" s="19">
        <f>J14</f>
        <v>4376.2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3413.4359999999997</v>
      </c>
      <c r="W15">
        <f t="shared" si="8"/>
        <v>0</v>
      </c>
      <c r="X15">
        <f t="shared" si="9"/>
        <v>3413.4359999999997</v>
      </c>
      <c r="AD15">
        <f>AD14</f>
        <v>4376.2</v>
      </c>
      <c r="AE15" s="22">
        <f t="shared" si="10"/>
        <v>0</v>
      </c>
      <c r="AF15" s="34">
        <v>0</v>
      </c>
    </row>
    <row r="16" spans="1:32" ht="18.75">
      <c r="A16" s="42" t="s">
        <v>21</v>
      </c>
      <c r="B16" s="53" t="s">
        <v>11</v>
      </c>
      <c r="C16" s="34">
        <v>0.82</v>
      </c>
      <c r="D16" s="34">
        <v>0.58</v>
      </c>
      <c r="E16" s="32">
        <f t="shared" si="0"/>
        <v>36760.079999999994</v>
      </c>
      <c r="F16" s="42">
        <f>E16</f>
        <v>36760.079999999994</v>
      </c>
      <c r="G16" s="42">
        <f t="shared" si="1"/>
        <v>30458.352</v>
      </c>
      <c r="H16" s="17">
        <f t="shared" si="2"/>
        <v>0.8609475031982</v>
      </c>
      <c r="I16" s="18">
        <f t="shared" si="3"/>
        <v>0.9186939820703999</v>
      </c>
      <c r="J16" s="19">
        <f>J15</f>
        <v>4376.2</v>
      </c>
      <c r="K16">
        <v>6</v>
      </c>
      <c r="L16">
        <v>2</v>
      </c>
      <c r="M16">
        <v>4</v>
      </c>
      <c r="N16" s="20">
        <f t="shared" si="4"/>
        <v>21530.903999999995</v>
      </c>
      <c r="O16" s="20" t="e">
        <f>J16*#REF!*L16</f>
        <v>#REF!</v>
      </c>
      <c r="P16" s="20">
        <f t="shared" si="5"/>
        <v>10152.784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20743.188</v>
      </c>
      <c r="W16">
        <f t="shared" si="8"/>
        <v>21530.904</v>
      </c>
      <c r="X16">
        <f t="shared" si="9"/>
        <v>42274.092</v>
      </c>
      <c r="AD16">
        <f>AD15</f>
        <v>4376.2</v>
      </c>
      <c r="AE16" s="22">
        <f t="shared" si="10"/>
        <v>1.4</v>
      </c>
      <c r="AF16" s="34">
        <v>0.58</v>
      </c>
    </row>
    <row r="17" spans="1:32" ht="18.75">
      <c r="A17" s="42" t="s">
        <v>22</v>
      </c>
      <c r="B17" s="53" t="s">
        <v>19</v>
      </c>
      <c r="C17" s="34">
        <v>1.24</v>
      </c>
      <c r="D17" s="34">
        <v>1.24</v>
      </c>
      <c r="E17" s="32">
        <f t="shared" si="0"/>
        <v>65117.85599999999</v>
      </c>
      <c r="F17" s="42">
        <f>E17</f>
        <v>65117.85599999999</v>
      </c>
      <c r="G17" s="42">
        <f t="shared" si="1"/>
        <v>65117.85599999999</v>
      </c>
      <c r="H17" s="17">
        <f t="shared" si="2"/>
        <v>1.3019206145924</v>
      </c>
      <c r="I17" s="18">
        <f t="shared" si="3"/>
        <v>1.3892445582528</v>
      </c>
      <c r="J17" s="19">
        <f>J16</f>
        <v>4376.2</v>
      </c>
      <c r="K17">
        <v>6</v>
      </c>
      <c r="L17">
        <v>2</v>
      </c>
      <c r="M17">
        <v>4</v>
      </c>
      <c r="N17" s="20">
        <f t="shared" si="4"/>
        <v>32558.927999999996</v>
      </c>
      <c r="O17" s="20" t="e">
        <f>J17*#REF!*L17</f>
        <v>#REF!</v>
      </c>
      <c r="P17" s="20">
        <f t="shared" si="5"/>
        <v>21705.951999999997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32558.927999999996</v>
      </c>
      <c r="W17">
        <f t="shared" si="8"/>
        <v>32558.927999999996</v>
      </c>
      <c r="X17">
        <f t="shared" si="9"/>
        <v>65117.85599999999</v>
      </c>
      <c r="AD17">
        <f>AD16</f>
        <v>4376.2</v>
      </c>
      <c r="AE17" s="22">
        <f t="shared" si="10"/>
        <v>2.48</v>
      </c>
      <c r="AF17" s="34">
        <v>1.24</v>
      </c>
    </row>
    <row r="18" spans="1:32" ht="56.25">
      <c r="A18" s="42" t="s">
        <v>23</v>
      </c>
      <c r="B18" s="53" t="s">
        <v>24</v>
      </c>
      <c r="C18" s="34">
        <v>4.47</v>
      </c>
      <c r="D18" s="34">
        <v>5.18</v>
      </c>
      <c r="E18" s="32">
        <f t="shared" si="0"/>
        <v>253381.97999999998</v>
      </c>
      <c r="F18" s="99">
        <f>F20+F21+F23+F24+F25+F27+F28+F29+F31+F33+F34+F35+F37+F38+F39+F41+F42+F45+F46+F48+F49+F51+F52+F53+F55+F56+F57+F59+F60</f>
        <v>250712.24000000002</v>
      </c>
      <c r="G18" s="42">
        <f t="shared" si="1"/>
        <v>272024.59199999995</v>
      </c>
      <c r="H18" s="17">
        <f t="shared" si="2"/>
        <v>4.6932138284097</v>
      </c>
      <c r="I18" s="18">
        <f t="shared" si="3"/>
        <v>5.008002560798399</v>
      </c>
      <c r="J18" s="19">
        <f>J17</f>
        <v>4376.2</v>
      </c>
      <c r="K18">
        <v>6</v>
      </c>
      <c r="L18">
        <v>2</v>
      </c>
      <c r="M18">
        <v>4</v>
      </c>
      <c r="N18" s="20">
        <f t="shared" si="4"/>
        <v>117369.68399999998</v>
      </c>
      <c r="O18" s="20" t="e">
        <f>J18*#REF!*L18</f>
        <v>#REF!</v>
      </c>
      <c r="P18" s="20">
        <f t="shared" si="5"/>
        <v>90674.86399999999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110542.812</v>
      </c>
      <c r="W18">
        <f t="shared" si="8"/>
        <v>121308.264</v>
      </c>
      <c r="X18">
        <f t="shared" si="9"/>
        <v>231851.076</v>
      </c>
      <c r="AD18">
        <f>AD17</f>
        <v>4376.2</v>
      </c>
      <c r="AE18" s="22">
        <f t="shared" si="10"/>
        <v>9.649999999999999</v>
      </c>
      <c r="AF18" s="34">
        <v>5.18</v>
      </c>
    </row>
    <row r="19" spans="1:19" ht="20.25" customHeight="1">
      <c r="A19" s="42"/>
      <c r="B19" s="42" t="s">
        <v>75</v>
      </c>
      <c r="C19" s="42"/>
      <c r="D19" s="42"/>
      <c r="E19" s="42"/>
      <c r="F19" s="99"/>
      <c r="G19" s="42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19.5" customHeight="1">
      <c r="A20" s="42"/>
      <c r="B20" s="53" t="s">
        <v>852</v>
      </c>
      <c r="C20" s="42"/>
      <c r="D20" s="42"/>
      <c r="E20" s="42"/>
      <c r="F20" s="100">
        <v>3635.63</v>
      </c>
      <c r="G20" s="42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56.25">
      <c r="A21" s="42"/>
      <c r="B21" s="53" t="s">
        <v>853</v>
      </c>
      <c r="C21" s="42"/>
      <c r="D21" s="42"/>
      <c r="E21" s="42"/>
      <c r="F21" s="99">
        <v>2067.53</v>
      </c>
      <c r="G21" s="42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18.75">
      <c r="A22" s="42"/>
      <c r="B22" s="42" t="s">
        <v>88</v>
      </c>
      <c r="C22" s="42"/>
      <c r="D22" s="42"/>
      <c r="E22" s="42"/>
      <c r="F22" s="99"/>
      <c r="G22" s="42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37.5">
      <c r="A23" s="42"/>
      <c r="B23" s="53" t="s">
        <v>854</v>
      </c>
      <c r="C23" s="42"/>
      <c r="D23" s="42"/>
      <c r="E23" s="42"/>
      <c r="F23" s="99">
        <v>5498.13</v>
      </c>
      <c r="G23" s="42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42"/>
      <c r="B24" s="53" t="s">
        <v>30</v>
      </c>
      <c r="C24" s="42"/>
      <c r="D24" s="42"/>
      <c r="E24" s="42"/>
      <c r="F24" s="99">
        <v>187.91</v>
      </c>
      <c r="G24" s="42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42"/>
      <c r="B25" s="53" t="s">
        <v>855</v>
      </c>
      <c r="C25" s="42"/>
      <c r="D25" s="42"/>
      <c r="E25" s="42"/>
      <c r="F25" s="99">
        <v>313.74</v>
      </c>
      <c r="G25" s="42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18.75">
      <c r="A26" s="42"/>
      <c r="B26" s="42" t="s">
        <v>89</v>
      </c>
      <c r="C26" s="42"/>
      <c r="D26" s="42"/>
      <c r="E26" s="42"/>
      <c r="F26" s="99"/>
      <c r="G26" s="42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62.25" customHeight="1">
      <c r="A27" s="42"/>
      <c r="B27" s="53" t="s">
        <v>856</v>
      </c>
      <c r="C27" s="42"/>
      <c r="D27" s="42"/>
      <c r="E27" s="42"/>
      <c r="F27" s="99">
        <v>8315.12</v>
      </c>
      <c r="G27" s="42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21.75" customHeight="1">
      <c r="A28" s="42"/>
      <c r="B28" s="53" t="s">
        <v>30</v>
      </c>
      <c r="C28" s="42"/>
      <c r="D28" s="42"/>
      <c r="E28" s="42"/>
      <c r="F28" s="99">
        <v>785.24</v>
      </c>
      <c r="G28" s="42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21.75" customHeight="1">
      <c r="A29" s="42"/>
      <c r="B29" s="53" t="s">
        <v>530</v>
      </c>
      <c r="C29" s="42"/>
      <c r="D29" s="42"/>
      <c r="E29" s="42"/>
      <c r="F29" s="99">
        <v>1072.72</v>
      </c>
      <c r="G29" s="42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18.75">
      <c r="A30" s="42"/>
      <c r="B30" s="42" t="s">
        <v>90</v>
      </c>
      <c r="C30" s="42"/>
      <c r="D30" s="42"/>
      <c r="E30" s="42"/>
      <c r="F30" s="99"/>
      <c r="G30" s="42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75">
      <c r="A31" s="42"/>
      <c r="B31" s="53" t="s">
        <v>857</v>
      </c>
      <c r="C31" s="42"/>
      <c r="D31" s="42"/>
      <c r="E31" s="42"/>
      <c r="F31" s="99">
        <v>17296.56</v>
      </c>
      <c r="G31" s="42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18.75">
      <c r="A32" s="42"/>
      <c r="B32" s="42" t="s">
        <v>539</v>
      </c>
      <c r="C32" s="42"/>
      <c r="D32" s="42"/>
      <c r="E32" s="42"/>
      <c r="F32" s="99"/>
      <c r="G32" s="42"/>
      <c r="H32" s="17"/>
      <c r="I32" s="18"/>
      <c r="J32" s="19"/>
      <c r="N32" s="20"/>
      <c r="O32" s="20"/>
      <c r="P32" s="20"/>
      <c r="Q32" s="21"/>
      <c r="R32" s="22"/>
      <c r="S32" s="22"/>
    </row>
    <row r="33" spans="1:19" ht="38.25" customHeight="1">
      <c r="A33" s="42"/>
      <c r="B33" s="53" t="s">
        <v>858</v>
      </c>
      <c r="C33" s="42"/>
      <c r="D33" s="42"/>
      <c r="E33" s="42"/>
      <c r="F33" s="99">
        <v>118799.94</v>
      </c>
      <c r="G33" s="42"/>
      <c r="H33" s="17"/>
      <c r="I33" s="18"/>
      <c r="J33" s="19"/>
      <c r="N33" s="20"/>
      <c r="O33" s="20"/>
      <c r="P33" s="20"/>
      <c r="Q33" s="21"/>
      <c r="R33" s="22"/>
      <c r="S33" s="22"/>
    </row>
    <row r="34" spans="1:19" ht="22.5" customHeight="1">
      <c r="A34" s="42"/>
      <c r="B34" s="53" t="s">
        <v>860</v>
      </c>
      <c r="C34" s="42"/>
      <c r="D34" s="42"/>
      <c r="E34" s="42"/>
      <c r="F34" s="99">
        <v>2556.82</v>
      </c>
      <c r="G34" s="42"/>
      <c r="H34" s="17"/>
      <c r="I34" s="18"/>
      <c r="J34" s="19"/>
      <c r="N34" s="20"/>
      <c r="O34" s="20"/>
      <c r="P34" s="20"/>
      <c r="Q34" s="21"/>
      <c r="R34" s="22"/>
      <c r="S34" s="22"/>
    </row>
    <row r="35" spans="1:19" ht="22.5" customHeight="1">
      <c r="A35" s="42"/>
      <c r="B35" s="53" t="s">
        <v>287</v>
      </c>
      <c r="C35" s="42"/>
      <c r="D35" s="42"/>
      <c r="E35" s="42"/>
      <c r="F35" s="99">
        <v>317.71</v>
      </c>
      <c r="G35" s="42"/>
      <c r="H35" s="17"/>
      <c r="I35" s="18"/>
      <c r="J35" s="19"/>
      <c r="N35" s="20"/>
      <c r="O35" s="20"/>
      <c r="P35" s="20"/>
      <c r="Q35" s="21"/>
      <c r="R35" s="22"/>
      <c r="S35" s="22"/>
    </row>
    <row r="36" spans="1:19" ht="20.25" customHeight="1">
      <c r="A36" s="42"/>
      <c r="B36" s="42" t="s">
        <v>124</v>
      </c>
      <c r="C36" s="42"/>
      <c r="D36" s="42"/>
      <c r="E36" s="42"/>
      <c r="F36" s="99"/>
      <c r="G36" s="42"/>
      <c r="H36" s="17"/>
      <c r="I36" s="18"/>
      <c r="J36" s="19"/>
      <c r="N36" s="20"/>
      <c r="O36" s="20"/>
      <c r="P36" s="20"/>
      <c r="Q36" s="21"/>
      <c r="R36" s="22"/>
      <c r="S36" s="22"/>
    </row>
    <row r="37" spans="1:19" ht="37.5">
      <c r="A37" s="42"/>
      <c r="B37" s="53" t="s">
        <v>859</v>
      </c>
      <c r="C37" s="42"/>
      <c r="D37" s="42"/>
      <c r="E37" s="42"/>
      <c r="F37" s="99">
        <v>17608.03</v>
      </c>
      <c r="G37" s="42"/>
      <c r="H37" s="17"/>
      <c r="I37" s="18"/>
      <c r="J37" s="19"/>
      <c r="N37" s="20"/>
      <c r="O37" s="20"/>
      <c r="P37" s="20"/>
      <c r="Q37" s="21"/>
      <c r="R37" s="22"/>
      <c r="S37" s="22"/>
    </row>
    <row r="38" spans="1:19" ht="75">
      <c r="A38" s="42"/>
      <c r="B38" s="53" t="s">
        <v>861</v>
      </c>
      <c r="C38" s="42"/>
      <c r="D38" s="42"/>
      <c r="E38" s="42"/>
      <c r="F38" s="99">
        <v>12846.64</v>
      </c>
      <c r="G38" s="42"/>
      <c r="H38" s="17"/>
      <c r="I38" s="18"/>
      <c r="J38" s="19"/>
      <c r="N38" s="20"/>
      <c r="O38" s="20"/>
      <c r="P38" s="20"/>
      <c r="Q38" s="21"/>
      <c r="R38" s="22"/>
      <c r="S38" s="22"/>
    </row>
    <row r="39" spans="1:19" ht="37.5">
      <c r="A39" s="42"/>
      <c r="B39" s="53" t="s">
        <v>862</v>
      </c>
      <c r="C39" s="42"/>
      <c r="D39" s="42"/>
      <c r="E39" s="42"/>
      <c r="F39" s="99">
        <v>2458.19</v>
      </c>
      <c r="G39" s="42"/>
      <c r="H39" s="17"/>
      <c r="I39" s="18"/>
      <c r="J39" s="19"/>
      <c r="N39" s="20"/>
      <c r="O39" s="20"/>
      <c r="P39" s="20"/>
      <c r="Q39" s="21"/>
      <c r="R39" s="22"/>
      <c r="S39" s="22"/>
    </row>
    <row r="40" spans="1:24" ht="18.75">
      <c r="A40" s="42"/>
      <c r="B40" s="42" t="s">
        <v>93</v>
      </c>
      <c r="C40" s="42"/>
      <c r="D40" s="42"/>
      <c r="E40" s="42"/>
      <c r="F40" s="99"/>
      <c r="G40" s="42"/>
      <c r="H40" s="17"/>
      <c r="I40" s="18"/>
      <c r="J40" s="19"/>
      <c r="K40">
        <v>6</v>
      </c>
      <c r="L40">
        <v>2</v>
      </c>
      <c r="M40">
        <v>4</v>
      </c>
      <c r="N40" s="20">
        <f>C40*J40*K40</f>
        <v>0</v>
      </c>
      <c r="O40" s="20" t="e">
        <f>J40*#REF!*L40</f>
        <v>#REF!</v>
      </c>
      <c r="P40" s="20">
        <f>D40*J40*M40</f>
        <v>0</v>
      </c>
      <c r="Q40" s="24"/>
      <c r="R40" s="22"/>
      <c r="V40">
        <f>J40*R40*U40</f>
        <v>0</v>
      </c>
      <c r="W40">
        <f>U40*S40*J40</f>
        <v>0</v>
      </c>
      <c r="X40">
        <f>SUM(V40:W40)</f>
        <v>0</v>
      </c>
    </row>
    <row r="41" spans="1:24" ht="18.75">
      <c r="A41" s="42"/>
      <c r="B41" s="53" t="s">
        <v>863</v>
      </c>
      <c r="C41" s="42"/>
      <c r="D41" s="42"/>
      <c r="E41" s="42"/>
      <c r="F41" s="99">
        <v>6963.01</v>
      </c>
      <c r="G41" s="42"/>
      <c r="H41" s="17"/>
      <c r="I41" s="18"/>
      <c r="J41" s="19"/>
      <c r="K41">
        <v>6</v>
      </c>
      <c r="L41">
        <v>2</v>
      </c>
      <c r="M41">
        <v>4</v>
      </c>
      <c r="N41" s="20">
        <f>C41*J41*K41</f>
        <v>0</v>
      </c>
      <c r="O41" s="20" t="e">
        <f>J41*#REF!*L41</f>
        <v>#REF!</v>
      </c>
      <c r="P41" s="20">
        <f>D41*J41*M41</f>
        <v>0</v>
      </c>
      <c r="Q41" s="24"/>
      <c r="R41" s="22"/>
      <c r="V41">
        <f>J41*R41*U41</f>
        <v>0</v>
      </c>
      <c r="W41">
        <f>U41*S41*J41</f>
        <v>0</v>
      </c>
      <c r="X41">
        <f>SUM(V41:W41)</f>
        <v>0</v>
      </c>
    </row>
    <row r="42" spans="1:18" ht="18.75">
      <c r="A42" s="42"/>
      <c r="B42" s="53" t="s">
        <v>864</v>
      </c>
      <c r="C42" s="42"/>
      <c r="D42" s="42"/>
      <c r="E42" s="42"/>
      <c r="F42" s="99">
        <v>207.59</v>
      </c>
      <c r="G42" s="42"/>
      <c r="H42" s="17"/>
      <c r="I42" s="18"/>
      <c r="J42" s="19"/>
      <c r="N42" s="20"/>
      <c r="O42" s="20"/>
      <c r="P42" s="20"/>
      <c r="Q42" s="24"/>
      <c r="R42" s="22"/>
    </row>
    <row r="43" spans="1:18" ht="18.75">
      <c r="A43" s="42"/>
      <c r="B43" s="53"/>
      <c r="C43" s="42"/>
      <c r="D43" s="42"/>
      <c r="E43" s="42"/>
      <c r="F43" s="99"/>
      <c r="G43" s="42"/>
      <c r="H43" s="17"/>
      <c r="I43" s="18"/>
      <c r="J43" s="19"/>
      <c r="N43" s="20"/>
      <c r="O43" s="20"/>
      <c r="P43" s="20"/>
      <c r="Q43" s="24"/>
      <c r="R43" s="22"/>
    </row>
    <row r="44" spans="1:18" ht="18.75">
      <c r="A44" s="42"/>
      <c r="B44" s="42" t="s">
        <v>94</v>
      </c>
      <c r="C44" s="42"/>
      <c r="D44" s="42"/>
      <c r="E44" s="42"/>
      <c r="F44" s="99"/>
      <c r="G44" s="42"/>
      <c r="H44" s="17"/>
      <c r="I44" s="18"/>
      <c r="J44" s="19"/>
      <c r="N44" s="20"/>
      <c r="O44" s="20"/>
      <c r="P44" s="20"/>
      <c r="Q44" s="24"/>
      <c r="R44" s="22"/>
    </row>
    <row r="45" spans="1:18" ht="39" customHeight="1">
      <c r="A45" s="42"/>
      <c r="B45" s="53" t="s">
        <v>865</v>
      </c>
      <c r="C45" s="42"/>
      <c r="D45" s="42"/>
      <c r="E45" s="42"/>
      <c r="F45" s="99">
        <v>8150.55</v>
      </c>
      <c r="G45" s="42"/>
      <c r="H45" s="17"/>
      <c r="I45" s="18"/>
      <c r="J45" s="19"/>
      <c r="N45" s="20"/>
      <c r="O45" s="20"/>
      <c r="P45" s="20"/>
      <c r="Q45" s="24"/>
      <c r="R45" s="22"/>
    </row>
    <row r="46" spans="1:18" ht="18.75">
      <c r="A46" s="42"/>
      <c r="B46" s="53" t="s">
        <v>600</v>
      </c>
      <c r="C46" s="42"/>
      <c r="D46" s="42"/>
      <c r="E46" s="42"/>
      <c r="F46" s="99">
        <v>266.15</v>
      </c>
      <c r="G46" s="42"/>
      <c r="H46" s="17"/>
      <c r="I46" s="18"/>
      <c r="J46" s="19"/>
      <c r="N46" s="20"/>
      <c r="O46" s="20"/>
      <c r="P46" s="20"/>
      <c r="Q46" s="24"/>
      <c r="R46" s="22"/>
    </row>
    <row r="47" spans="1:18" ht="18.75">
      <c r="A47" s="42"/>
      <c r="B47" s="42" t="s">
        <v>98</v>
      </c>
      <c r="C47" s="42"/>
      <c r="D47" s="42"/>
      <c r="E47" s="42"/>
      <c r="F47" s="99"/>
      <c r="G47" s="42"/>
      <c r="H47" s="17"/>
      <c r="I47" s="18"/>
      <c r="J47" s="19"/>
      <c r="N47" s="20"/>
      <c r="O47" s="20"/>
      <c r="P47" s="20"/>
      <c r="Q47" s="24"/>
      <c r="R47" s="22"/>
    </row>
    <row r="48" spans="1:18" ht="37.5" customHeight="1">
      <c r="A48" s="42"/>
      <c r="B48" s="53" t="s">
        <v>866</v>
      </c>
      <c r="C48" s="42"/>
      <c r="D48" s="42"/>
      <c r="E48" s="42"/>
      <c r="F48" s="99">
        <v>11961.85</v>
      </c>
      <c r="G48" s="42"/>
      <c r="H48" s="17"/>
      <c r="I48" s="18"/>
      <c r="J48" s="19"/>
      <c r="N48" s="20"/>
      <c r="O48" s="20"/>
      <c r="P48" s="20"/>
      <c r="Q48" s="24"/>
      <c r="R48" s="22"/>
    </row>
    <row r="49" spans="1:18" ht="18.75">
      <c r="A49" s="42"/>
      <c r="B49" s="53" t="s">
        <v>867</v>
      </c>
      <c r="C49" s="42"/>
      <c r="D49" s="42"/>
      <c r="E49" s="42"/>
      <c r="F49" s="99">
        <v>999.22</v>
      </c>
      <c r="G49" s="42"/>
      <c r="H49" s="17"/>
      <c r="I49" s="18"/>
      <c r="J49" s="19"/>
      <c r="N49" s="20"/>
      <c r="O49" s="20"/>
      <c r="P49" s="20"/>
      <c r="Q49" s="24"/>
      <c r="R49" s="22"/>
    </row>
    <row r="50" spans="1:18" ht="18.75">
      <c r="A50" s="42"/>
      <c r="B50" s="42" t="s">
        <v>95</v>
      </c>
      <c r="C50" s="42"/>
      <c r="D50" s="42"/>
      <c r="E50" s="42"/>
      <c r="F50" s="99"/>
      <c r="G50" s="42"/>
      <c r="H50" s="17"/>
      <c r="I50" s="18"/>
      <c r="J50" s="19"/>
      <c r="N50" s="20"/>
      <c r="O50" s="20"/>
      <c r="P50" s="20"/>
      <c r="Q50" s="24"/>
      <c r="R50" s="22"/>
    </row>
    <row r="51" spans="1:18" ht="56.25" customHeight="1">
      <c r="A51" s="42"/>
      <c r="B51" s="53" t="s">
        <v>868</v>
      </c>
      <c r="C51" s="42"/>
      <c r="D51" s="42"/>
      <c r="E51" s="42"/>
      <c r="F51" s="99">
        <v>10688.85</v>
      </c>
      <c r="G51" s="42"/>
      <c r="H51" s="17"/>
      <c r="I51" s="18"/>
      <c r="J51" s="19"/>
      <c r="N51" s="20"/>
      <c r="O51" s="20"/>
      <c r="P51" s="20"/>
      <c r="Q51" s="24"/>
      <c r="R51" s="22"/>
    </row>
    <row r="52" spans="1:18" ht="18" customHeight="1">
      <c r="A52" s="42"/>
      <c r="B52" s="53" t="s">
        <v>869</v>
      </c>
      <c r="C52" s="42"/>
      <c r="D52" s="42"/>
      <c r="E52" s="42"/>
      <c r="F52" s="99">
        <v>1078.75</v>
      </c>
      <c r="G52" s="42"/>
      <c r="H52" s="17"/>
      <c r="I52" s="18"/>
      <c r="J52" s="19"/>
      <c r="N52" s="20"/>
      <c r="O52" s="20"/>
      <c r="P52" s="20"/>
      <c r="Q52" s="24"/>
      <c r="R52" s="22"/>
    </row>
    <row r="53" spans="1:18" ht="20.25" customHeight="1">
      <c r="A53" s="42"/>
      <c r="B53" s="53" t="s">
        <v>870</v>
      </c>
      <c r="C53" s="42"/>
      <c r="D53" s="42"/>
      <c r="E53" s="42"/>
      <c r="F53" s="99">
        <v>423.49</v>
      </c>
      <c r="G53" s="42"/>
      <c r="H53" s="17"/>
      <c r="I53" s="18"/>
      <c r="J53" s="19"/>
      <c r="N53" s="20"/>
      <c r="O53" s="20"/>
      <c r="P53" s="20"/>
      <c r="Q53" s="24"/>
      <c r="R53" s="22"/>
    </row>
    <row r="54" spans="1:18" ht="18.75">
      <c r="A54" s="42"/>
      <c r="B54" s="42" t="s">
        <v>96</v>
      </c>
      <c r="C54" s="42"/>
      <c r="D54" s="42"/>
      <c r="E54" s="42"/>
      <c r="F54" s="99"/>
      <c r="G54" s="42"/>
      <c r="H54" s="17"/>
      <c r="I54" s="18"/>
      <c r="J54" s="19"/>
      <c r="N54" s="20"/>
      <c r="O54" s="20"/>
      <c r="P54" s="20"/>
      <c r="Q54" s="24"/>
      <c r="R54" s="22"/>
    </row>
    <row r="55" spans="1:18" ht="42" customHeight="1">
      <c r="A55" s="42"/>
      <c r="B55" s="53" t="s">
        <v>871</v>
      </c>
      <c r="C55" s="42"/>
      <c r="D55" s="42"/>
      <c r="E55" s="42"/>
      <c r="F55" s="99">
        <v>4455.98</v>
      </c>
      <c r="G55" s="42"/>
      <c r="H55" s="17"/>
      <c r="I55" s="18"/>
      <c r="J55" s="19"/>
      <c r="N55" s="20"/>
      <c r="O55" s="20"/>
      <c r="P55" s="20"/>
      <c r="Q55" s="24"/>
      <c r="R55" s="22"/>
    </row>
    <row r="56" spans="1:18" ht="18.75">
      <c r="A56" s="42"/>
      <c r="B56" s="53" t="s">
        <v>872</v>
      </c>
      <c r="C56" s="42"/>
      <c r="D56" s="42"/>
      <c r="E56" s="42"/>
      <c r="F56" s="99">
        <v>607.86</v>
      </c>
      <c r="G56" s="42"/>
      <c r="H56" s="17"/>
      <c r="I56" s="18"/>
      <c r="J56" s="19"/>
      <c r="N56" s="20"/>
      <c r="O56" s="20"/>
      <c r="P56" s="20"/>
      <c r="Q56" s="24"/>
      <c r="R56" s="22"/>
    </row>
    <row r="57" spans="1:18" ht="37.5">
      <c r="A57" s="42"/>
      <c r="B57" s="53" t="s">
        <v>873</v>
      </c>
      <c r="C57" s="42"/>
      <c r="D57" s="42"/>
      <c r="E57" s="42"/>
      <c r="F57" s="99">
        <v>2112.43</v>
      </c>
      <c r="G57" s="42"/>
      <c r="H57" s="17"/>
      <c r="I57" s="18"/>
      <c r="J57" s="19"/>
      <c r="N57" s="20"/>
      <c r="O57" s="20"/>
      <c r="P57" s="20"/>
      <c r="Q57" s="24"/>
      <c r="R57" s="22"/>
    </row>
    <row r="58" spans="1:18" ht="18.75">
      <c r="A58" s="42"/>
      <c r="B58" s="42" t="s">
        <v>97</v>
      </c>
      <c r="C58" s="42"/>
      <c r="D58" s="42"/>
      <c r="E58" s="42"/>
      <c r="F58" s="99"/>
      <c r="G58" s="42"/>
      <c r="H58" s="17"/>
      <c r="I58" s="18"/>
      <c r="J58" s="19"/>
      <c r="N58" s="20"/>
      <c r="O58" s="20"/>
      <c r="P58" s="20"/>
      <c r="Q58" s="24"/>
      <c r="R58" s="22"/>
    </row>
    <row r="59" spans="1:18" ht="37.5">
      <c r="A59" s="42"/>
      <c r="B59" s="53" t="s">
        <v>874</v>
      </c>
      <c r="C59" s="42"/>
      <c r="D59" s="42"/>
      <c r="E59" s="42"/>
      <c r="F59" s="99">
        <v>7077.38</v>
      </c>
      <c r="G59" s="42"/>
      <c r="H59" s="17"/>
      <c r="I59" s="18"/>
      <c r="J59" s="19"/>
      <c r="N59" s="20"/>
      <c r="O59" s="20"/>
      <c r="P59" s="20"/>
      <c r="Q59" s="24"/>
      <c r="R59" s="22"/>
    </row>
    <row r="60" spans="1:18" ht="18.75">
      <c r="A60" s="42"/>
      <c r="B60" s="53" t="s">
        <v>875</v>
      </c>
      <c r="C60" s="42"/>
      <c r="D60" s="42"/>
      <c r="E60" s="42"/>
      <c r="F60" s="99">
        <v>1959.22</v>
      </c>
      <c r="G60" s="42"/>
      <c r="H60" s="17"/>
      <c r="I60" s="18"/>
      <c r="J60" s="19"/>
      <c r="N60" s="20"/>
      <c r="O60" s="20"/>
      <c r="P60" s="20"/>
      <c r="Q60" s="24"/>
      <c r="R60" s="22"/>
    </row>
    <row r="61" spans="1:18" ht="37.5">
      <c r="A61" s="42"/>
      <c r="B61" s="14" t="s">
        <v>943</v>
      </c>
      <c r="C61" s="42"/>
      <c r="D61" s="42"/>
      <c r="E61" s="42">
        <v>-174.05</v>
      </c>
      <c r="F61" s="99">
        <f>E61</f>
        <v>-174.05</v>
      </c>
      <c r="G61" s="42"/>
      <c r="H61" s="17"/>
      <c r="I61" s="18"/>
      <c r="J61" s="19"/>
      <c r="N61" s="20"/>
      <c r="O61" s="20"/>
      <c r="P61" s="20"/>
      <c r="Q61" s="24"/>
      <c r="R61" s="22"/>
    </row>
    <row r="62" spans="1:24" ht="18.75">
      <c r="A62" s="53"/>
      <c r="B62" s="53" t="s">
        <v>9</v>
      </c>
      <c r="C62" s="42">
        <f>SUM(C13:C41)</f>
        <v>9.01</v>
      </c>
      <c r="D62" s="42">
        <f>SUM(D13:D41)</f>
        <v>9.6</v>
      </c>
      <c r="E62" s="42">
        <f>SUM(E13:E41)+E61</f>
        <v>488472.442</v>
      </c>
      <c r="F62" s="99">
        <f>F13+F14+F15+F16+F17+F18+F61</f>
        <v>485802.702</v>
      </c>
      <c r="G62" s="42">
        <f>SUM(G13:G60)</f>
        <v>504138.24</v>
      </c>
      <c r="H62" s="17">
        <f>1.04993597951*C62</f>
        <v>9.4599231753851</v>
      </c>
      <c r="I62" s="18">
        <f>1.12035851472*C62</f>
        <v>10.094430217627199</v>
      </c>
      <c r="J62" s="19">
        <f>J18</f>
        <v>4376.2</v>
      </c>
      <c r="N62" s="20"/>
      <c r="Q62" s="24"/>
      <c r="R62" s="22">
        <f>SUM(R13:R41)</f>
        <v>8.75</v>
      </c>
      <c r="S62" s="22">
        <f>SUM(S13:S41)</f>
        <v>9.16</v>
      </c>
      <c r="T62" s="22"/>
      <c r="U62" s="22"/>
      <c r="V62" s="22">
        <f>SUM(V13:V41)</f>
        <v>229750.5</v>
      </c>
      <c r="W62" s="22">
        <f>SUM(W13:W41)</f>
        <v>240515.952</v>
      </c>
      <c r="X62" s="22">
        <f>SUM(X13:X41)</f>
        <v>470266.452</v>
      </c>
    </row>
    <row r="63" spans="1:32" ht="18.75">
      <c r="A63" s="13">
        <v>5</v>
      </c>
      <c r="B63" s="54" t="s">
        <v>26</v>
      </c>
      <c r="C63" s="108">
        <v>1.58</v>
      </c>
      <c r="D63" s="108">
        <v>1.85</v>
      </c>
      <c r="E63" s="98">
        <f>AE63*6*AD63</f>
        <v>80084.45999999998</v>
      </c>
      <c r="F63" s="101">
        <f>E63</f>
        <v>80084.45999999998</v>
      </c>
      <c r="G63" s="101">
        <f>AF63*6*AD63</f>
        <v>90062.19600000001</v>
      </c>
      <c r="H63" s="69" t="str">
        <f>C11</f>
        <v>с 1.01-31.06</v>
      </c>
      <c r="I63" s="22">
        <f>C63+D63</f>
        <v>3.43</v>
      </c>
      <c r="J63" s="34">
        <v>3.43</v>
      </c>
      <c r="K63">
        <v>10</v>
      </c>
      <c r="L63">
        <v>2</v>
      </c>
      <c r="N63" s="20">
        <f>C63*J63*K63</f>
        <v>54.194</v>
      </c>
      <c r="O63" s="20" t="e">
        <f>#REF!*J63*L63</f>
        <v>#REF!</v>
      </c>
      <c r="P63" s="20" t="e">
        <f>SUM(N63:O63)</f>
        <v>#REF!</v>
      </c>
      <c r="Q63" s="21"/>
      <c r="R63" s="22">
        <v>1.47</v>
      </c>
      <c r="S63">
        <v>1.58</v>
      </c>
      <c r="T63">
        <v>6</v>
      </c>
      <c r="U63">
        <v>6</v>
      </c>
      <c r="V63">
        <f>R63*J63*T63</f>
        <v>30.2526</v>
      </c>
      <c r="W63">
        <f>S63*U63*J63</f>
        <v>32.516400000000004</v>
      </c>
      <c r="X63">
        <f>SUM(V63:W63)</f>
        <v>62.769000000000005</v>
      </c>
      <c r="AD63">
        <f>C7</f>
        <v>4376.2</v>
      </c>
      <c r="AE63">
        <v>3.05</v>
      </c>
      <c r="AF63">
        <v>3.43</v>
      </c>
    </row>
    <row r="64" spans="1:17" ht="18.75">
      <c r="A64" s="55"/>
      <c r="B64" s="56"/>
      <c r="C64" s="55"/>
      <c r="D64" s="55"/>
      <c r="E64" s="55"/>
      <c r="F64" s="55"/>
      <c r="G64" s="55"/>
      <c r="H64" s="10"/>
      <c r="Q64" s="24"/>
    </row>
    <row r="65" spans="1:17" ht="18.75" customHeight="1">
      <c r="A65" s="179" t="s">
        <v>941</v>
      </c>
      <c r="B65" s="179"/>
      <c r="C65" s="193">
        <v>45278.31</v>
      </c>
      <c r="D65" s="193"/>
      <c r="E65" s="55" t="s">
        <v>18</v>
      </c>
      <c r="F65" s="55"/>
      <c r="G65" s="55"/>
      <c r="H65" s="10"/>
      <c r="Q65" s="24"/>
    </row>
    <row r="66" spans="1:17" ht="18.75" customHeight="1">
      <c r="A66" s="179" t="s">
        <v>942</v>
      </c>
      <c r="B66" s="179"/>
      <c r="C66" s="193">
        <v>59454.43</v>
      </c>
      <c r="D66" s="193"/>
      <c r="E66" s="55" t="s">
        <v>18</v>
      </c>
      <c r="F66" s="55"/>
      <c r="G66" s="55"/>
      <c r="H66" s="10"/>
      <c r="Q66" s="24"/>
    </row>
    <row r="67" spans="1:8" ht="18.75">
      <c r="A67" s="207" t="s">
        <v>17</v>
      </c>
      <c r="B67" s="207"/>
      <c r="C67" s="207"/>
      <c r="D67" s="207"/>
      <c r="E67" s="207"/>
      <c r="F67" s="207"/>
      <c r="G67" s="207"/>
      <c r="H67" s="10"/>
    </row>
    <row r="68" spans="1:8" ht="18.75" customHeight="1" hidden="1">
      <c r="A68" s="206" t="s">
        <v>35</v>
      </c>
      <c r="B68" s="206"/>
      <c r="C68" s="52" t="e">
        <f>C65-#REF!</f>
        <v>#REF!</v>
      </c>
      <c r="D68" s="55" t="s">
        <v>18</v>
      </c>
      <c r="E68" s="55"/>
      <c r="F68" s="55"/>
      <c r="G68" s="55"/>
      <c r="H68" s="10"/>
    </row>
    <row r="69" spans="1:8" ht="18.75" customHeight="1" hidden="1">
      <c r="A69" s="206" t="s">
        <v>36</v>
      </c>
      <c r="B69" s="206"/>
      <c r="C69" s="96">
        <f>E62-F62</f>
        <v>2669.7399999999907</v>
      </c>
      <c r="D69" s="96" t="str">
        <f>D68</f>
        <v>рублей</v>
      </c>
      <c r="E69" s="59"/>
      <c r="F69" s="59"/>
      <c r="G69" s="59"/>
      <c r="H69" s="28"/>
    </row>
    <row r="70" spans="1:7" ht="18.75">
      <c r="A70" s="59"/>
      <c r="B70" s="59"/>
      <c r="C70" s="59"/>
      <c r="D70" s="59"/>
      <c r="E70" s="59"/>
      <c r="F70" s="59"/>
      <c r="G70" s="59"/>
    </row>
    <row r="71" spans="1:7" ht="18.75">
      <c r="A71" s="59"/>
      <c r="B71" s="59"/>
      <c r="C71" s="59"/>
      <c r="D71" s="59"/>
      <c r="E71" s="59"/>
      <c r="F71" s="59"/>
      <c r="G71" s="59"/>
    </row>
    <row r="72" spans="1:7" ht="18.75">
      <c r="A72" s="59"/>
      <c r="B72" s="59"/>
      <c r="C72" s="59"/>
      <c r="D72" s="59"/>
      <c r="E72" s="59"/>
      <c r="F72" s="59"/>
      <c r="G72" s="59"/>
    </row>
    <row r="73" spans="1:7" ht="18.75">
      <c r="A73" s="59"/>
      <c r="B73" s="59"/>
      <c r="C73" s="59"/>
      <c r="D73" s="59"/>
      <c r="E73" s="59"/>
      <c r="F73" s="59"/>
      <c r="G73" s="59"/>
    </row>
    <row r="74" spans="1:7" ht="18.75">
      <c r="A74" s="59"/>
      <c r="B74" s="59"/>
      <c r="C74" s="59"/>
      <c r="D74" s="59"/>
      <c r="E74" s="59"/>
      <c r="F74" s="59"/>
      <c r="G74" s="59"/>
    </row>
    <row r="75" spans="1:7" ht="18.75">
      <c r="A75" s="59"/>
      <c r="B75" s="59"/>
      <c r="C75" s="59"/>
      <c r="D75" s="59"/>
      <c r="E75" s="59"/>
      <c r="F75" s="59"/>
      <c r="G75" s="59"/>
    </row>
    <row r="76" spans="1:7" ht="18.75">
      <c r="A76" s="59"/>
      <c r="B76" s="59"/>
      <c r="C76" s="59"/>
      <c r="D76" s="59"/>
      <c r="E76" s="59"/>
      <c r="F76" s="59"/>
      <c r="G76" s="59"/>
    </row>
    <row r="77" spans="1:7" ht="18.75">
      <c r="A77" s="59"/>
      <c r="B77" s="59"/>
      <c r="C77" s="59"/>
      <c r="D77" s="59"/>
      <c r="E77" s="59"/>
      <c r="F77" s="59"/>
      <c r="G77" s="59"/>
    </row>
    <row r="78" spans="1:7" ht="18.75">
      <c r="A78" s="59"/>
      <c r="B78" s="59"/>
      <c r="C78" s="59"/>
      <c r="D78" s="59"/>
      <c r="E78" s="59"/>
      <c r="F78" s="59"/>
      <c r="G78" s="59"/>
    </row>
    <row r="79" spans="1:7" ht="18.75">
      <c r="A79" s="59"/>
      <c r="B79" s="59"/>
      <c r="C79" s="59"/>
      <c r="D79" s="59"/>
      <c r="E79" s="59"/>
      <c r="F79" s="59"/>
      <c r="G79" s="59"/>
    </row>
    <row r="80" spans="1:7" ht="18.75">
      <c r="A80" s="59"/>
      <c r="B80" s="59"/>
      <c r="C80" s="59"/>
      <c r="D80" s="59"/>
      <c r="E80" s="59"/>
      <c r="F80" s="59"/>
      <c r="G80" s="59"/>
    </row>
    <row r="81" spans="1:7" ht="18.75">
      <c r="A81" s="59"/>
      <c r="B81" s="59"/>
      <c r="C81" s="59"/>
      <c r="D81" s="59"/>
      <c r="E81" s="59"/>
      <c r="F81" s="59"/>
      <c r="G81" s="59"/>
    </row>
    <row r="82" spans="1:7" ht="18.75">
      <c r="A82" s="59"/>
      <c r="B82" s="59"/>
      <c r="C82" s="59"/>
      <c r="D82" s="59"/>
      <c r="E82" s="59"/>
      <c r="F82" s="59"/>
      <c r="G82" s="59"/>
    </row>
    <row r="83" spans="1:7" ht="18.75">
      <c r="A83" s="59"/>
      <c r="B83" s="59"/>
      <c r="C83" s="59"/>
      <c r="D83" s="59"/>
      <c r="E83" s="59"/>
      <c r="F83" s="59"/>
      <c r="G83" s="59"/>
    </row>
    <row r="84" spans="1:7" ht="18.75">
      <c r="A84" s="59"/>
      <c r="B84" s="59"/>
      <c r="C84" s="59"/>
      <c r="D84" s="59"/>
      <c r="E84" s="59"/>
      <c r="F84" s="59"/>
      <c r="G84" s="59"/>
    </row>
    <row r="85" spans="1:7" ht="18.75">
      <c r="A85" s="59"/>
      <c r="B85" s="59"/>
      <c r="C85" s="59"/>
      <c r="D85" s="59"/>
      <c r="E85" s="59"/>
      <c r="F85" s="59"/>
      <c r="G85" s="59"/>
    </row>
    <row r="86" spans="1:7" ht="18.75">
      <c r="A86" s="59"/>
      <c r="B86" s="59"/>
      <c r="C86" s="59"/>
      <c r="D86" s="59"/>
      <c r="E86" s="59"/>
      <c r="F86" s="59"/>
      <c r="G86" s="59"/>
    </row>
    <row r="87" spans="1:7" ht="18.75">
      <c r="A87" s="59"/>
      <c r="B87" s="59"/>
      <c r="C87" s="59"/>
      <c r="D87" s="59"/>
      <c r="E87" s="59"/>
      <c r="F87" s="59"/>
      <c r="G87" s="59"/>
    </row>
    <row r="88" spans="1:7" ht="18.75">
      <c r="A88" s="59"/>
      <c r="B88" s="59"/>
      <c r="C88" s="59"/>
      <c r="D88" s="59"/>
      <c r="E88" s="59"/>
      <c r="F88" s="59"/>
      <c r="G88" s="59"/>
    </row>
    <row r="89" spans="1:7" ht="18.75">
      <c r="A89" s="59"/>
      <c r="B89" s="59"/>
      <c r="C89" s="59"/>
      <c r="D89" s="59"/>
      <c r="E89" s="59"/>
      <c r="F89" s="59"/>
      <c r="G89" s="59"/>
    </row>
    <row r="90" spans="1:7" ht="18.75">
      <c r="A90" s="59"/>
      <c r="B90" s="59"/>
      <c r="C90" s="59"/>
      <c r="D90" s="59"/>
      <c r="E90" s="59"/>
      <c r="F90" s="59"/>
      <c r="G90" s="59"/>
    </row>
    <row r="91" spans="1:7" ht="18.75">
      <c r="A91" s="59"/>
      <c r="B91" s="59"/>
      <c r="C91" s="59"/>
      <c r="D91" s="59"/>
      <c r="E91" s="59"/>
      <c r="F91" s="59"/>
      <c r="G91" s="59"/>
    </row>
    <row r="92" spans="1:7" ht="18.75">
      <c r="A92" s="59"/>
      <c r="B92" s="59"/>
      <c r="C92" s="59"/>
      <c r="D92" s="59"/>
      <c r="E92" s="59"/>
      <c r="F92" s="59"/>
      <c r="G92" s="59"/>
    </row>
    <row r="93" spans="1:7" ht="18.75">
      <c r="A93" s="59"/>
      <c r="B93" s="59"/>
      <c r="C93" s="59"/>
      <c r="D93" s="59"/>
      <c r="E93" s="59"/>
      <c r="F93" s="59"/>
      <c r="G93" s="59"/>
    </row>
    <row r="94" spans="1:7" ht="18.75">
      <c r="A94" s="59"/>
      <c r="B94" s="59"/>
      <c r="C94" s="59"/>
      <c r="D94" s="59"/>
      <c r="E94" s="59"/>
      <c r="F94" s="59"/>
      <c r="G94" s="59"/>
    </row>
    <row r="95" spans="1:7" ht="18.75">
      <c r="A95" s="59"/>
      <c r="B95" s="59"/>
      <c r="C95" s="59"/>
      <c r="D95" s="59"/>
      <c r="E95" s="59"/>
      <c r="F95" s="59"/>
      <c r="G95" s="59"/>
    </row>
    <row r="96" spans="1:7" ht="18.75">
      <c r="A96" s="59"/>
      <c r="B96" s="59"/>
      <c r="C96" s="59"/>
      <c r="D96" s="59"/>
      <c r="E96" s="59"/>
      <c r="F96" s="59"/>
      <c r="G96" s="59"/>
    </row>
    <row r="97" spans="1:7" ht="18.75">
      <c r="A97" s="59"/>
      <c r="B97" s="59"/>
      <c r="C97" s="59"/>
      <c r="D97" s="59"/>
      <c r="E97" s="59"/>
      <c r="F97" s="59"/>
      <c r="G97" s="59"/>
    </row>
    <row r="98" spans="1:7" ht="18.75">
      <c r="A98" s="59"/>
      <c r="B98" s="59"/>
      <c r="C98" s="59"/>
      <c r="D98" s="59"/>
      <c r="E98" s="59"/>
      <c r="F98" s="59"/>
      <c r="G98" s="59"/>
    </row>
    <row r="99" spans="1:7" ht="18.75">
      <c r="A99" s="59"/>
      <c r="B99" s="59"/>
      <c r="C99" s="59"/>
      <c r="D99" s="59"/>
      <c r="E99" s="59"/>
      <c r="F99" s="59"/>
      <c r="G99" s="59"/>
    </row>
    <row r="100" spans="1:7" ht="18.75">
      <c r="A100" s="59"/>
      <c r="B100" s="59"/>
      <c r="C100" s="59"/>
      <c r="D100" s="59"/>
      <c r="E100" s="59"/>
      <c r="F100" s="59"/>
      <c r="G100" s="59"/>
    </row>
    <row r="101" spans="1:7" ht="18.75">
      <c r="A101" s="59"/>
      <c r="B101" s="59"/>
      <c r="C101" s="59"/>
      <c r="D101" s="59"/>
      <c r="E101" s="59"/>
      <c r="F101" s="59"/>
      <c r="G101" s="59"/>
    </row>
    <row r="102" spans="1:7" ht="18.75">
      <c r="A102" s="59"/>
      <c r="B102" s="59"/>
      <c r="C102" s="59"/>
      <c r="D102" s="59"/>
      <c r="E102" s="59"/>
      <c r="F102" s="59"/>
      <c r="G102" s="59"/>
    </row>
    <row r="103" spans="1:7" ht="18.75">
      <c r="A103" s="59"/>
      <c r="B103" s="59"/>
      <c r="C103" s="59"/>
      <c r="D103" s="59"/>
      <c r="E103" s="59"/>
      <c r="F103" s="59"/>
      <c r="G103" s="59"/>
    </row>
    <row r="104" spans="1:7" ht="18.75">
      <c r="A104" s="59"/>
      <c r="B104" s="59"/>
      <c r="C104" s="59"/>
      <c r="D104" s="59"/>
      <c r="E104" s="59"/>
      <c r="F104" s="59"/>
      <c r="G104" s="59"/>
    </row>
    <row r="105" spans="1:7" ht="18.75">
      <c r="A105" s="59"/>
      <c r="B105" s="59"/>
      <c r="C105" s="59"/>
      <c r="D105" s="59"/>
      <c r="E105" s="59"/>
      <c r="F105" s="59"/>
      <c r="G105" s="59"/>
    </row>
    <row r="106" spans="1:7" ht="18.75">
      <c r="A106" s="59"/>
      <c r="B106" s="59"/>
      <c r="C106" s="59"/>
      <c r="D106" s="59"/>
      <c r="E106" s="59"/>
      <c r="F106" s="59"/>
      <c r="G106" s="59"/>
    </row>
    <row r="107" spans="1:7" ht="18.75">
      <c r="A107" s="59"/>
      <c r="B107" s="59"/>
      <c r="C107" s="59"/>
      <c r="D107" s="59"/>
      <c r="E107" s="59"/>
      <c r="F107" s="59"/>
      <c r="G107" s="59"/>
    </row>
    <row r="108" spans="1:7" ht="18.75">
      <c r="A108" s="59"/>
      <c r="B108" s="59"/>
      <c r="C108" s="59"/>
      <c r="D108" s="59"/>
      <c r="E108" s="59"/>
      <c r="F108" s="59"/>
      <c r="G108" s="59"/>
    </row>
    <row r="109" spans="1:7" ht="18.75">
      <c r="A109" s="59"/>
      <c r="B109" s="59"/>
      <c r="C109" s="59"/>
      <c r="D109" s="59"/>
      <c r="E109" s="59"/>
      <c r="F109" s="59"/>
      <c r="G109" s="59"/>
    </row>
    <row r="110" spans="1:7" ht="18.75">
      <c r="A110" s="59"/>
      <c r="B110" s="59"/>
      <c r="C110" s="59"/>
      <c r="D110" s="59"/>
      <c r="E110" s="59"/>
      <c r="F110" s="59"/>
      <c r="G110" s="59"/>
    </row>
    <row r="111" spans="1:7" ht="18.75">
      <c r="A111" s="59"/>
      <c r="B111" s="59"/>
      <c r="C111" s="59"/>
      <c r="D111" s="59"/>
      <c r="E111" s="59"/>
      <c r="F111" s="59"/>
      <c r="G111" s="59"/>
    </row>
    <row r="112" spans="1:7" ht="18.75">
      <c r="A112" s="59"/>
      <c r="B112" s="59"/>
      <c r="C112" s="59"/>
      <c r="D112" s="59"/>
      <c r="E112" s="59"/>
      <c r="F112" s="59"/>
      <c r="G112" s="59"/>
    </row>
    <row r="113" spans="1:7" ht="18.75">
      <c r="A113" s="59"/>
      <c r="B113" s="59"/>
      <c r="C113" s="59"/>
      <c r="D113" s="59"/>
      <c r="E113" s="59"/>
      <c r="F113" s="59"/>
      <c r="G113" s="59"/>
    </row>
    <row r="114" spans="1:7" ht="18.75">
      <c r="A114" s="59"/>
      <c r="B114" s="59"/>
      <c r="C114" s="59"/>
      <c r="D114" s="59"/>
      <c r="E114" s="59"/>
      <c r="F114" s="59"/>
      <c r="G114" s="59"/>
    </row>
    <row r="115" spans="1:7" ht="18.75">
      <c r="A115" s="59"/>
      <c r="B115" s="59"/>
      <c r="C115" s="59"/>
      <c r="D115" s="59"/>
      <c r="E115" s="59"/>
      <c r="F115" s="59"/>
      <c r="G115" s="59"/>
    </row>
    <row r="116" spans="1:7" ht="18.75">
      <c r="A116" s="59"/>
      <c r="B116" s="59"/>
      <c r="C116" s="59"/>
      <c r="D116" s="59"/>
      <c r="E116" s="59"/>
      <c r="F116" s="59"/>
      <c r="G116" s="59"/>
    </row>
    <row r="117" spans="1:7" ht="18.75">
      <c r="A117" s="59"/>
      <c r="B117" s="59"/>
      <c r="C117" s="59"/>
      <c r="D117" s="59"/>
      <c r="E117" s="59"/>
      <c r="F117" s="59"/>
      <c r="G117" s="59"/>
    </row>
    <row r="118" spans="1:7" ht="18.75">
      <c r="A118" s="59"/>
      <c r="B118" s="59"/>
      <c r="C118" s="59"/>
      <c r="D118" s="59"/>
      <c r="E118" s="59"/>
      <c r="F118" s="59"/>
      <c r="G118" s="59"/>
    </row>
    <row r="119" spans="1:7" ht="18.75">
      <c r="A119" s="59"/>
      <c r="B119" s="59"/>
      <c r="C119" s="59"/>
      <c r="D119" s="59"/>
      <c r="E119" s="59"/>
      <c r="F119" s="59"/>
      <c r="G119" s="59"/>
    </row>
    <row r="120" spans="1:7" ht="18.75">
      <c r="A120" s="59"/>
      <c r="B120" s="59"/>
      <c r="C120" s="59"/>
      <c r="D120" s="59"/>
      <c r="E120" s="59"/>
      <c r="F120" s="59"/>
      <c r="G120" s="59"/>
    </row>
    <row r="121" spans="1:7" ht="18.75">
      <c r="A121" s="59"/>
      <c r="B121" s="59"/>
      <c r="C121" s="59"/>
      <c r="D121" s="59"/>
      <c r="E121" s="59"/>
      <c r="F121" s="59"/>
      <c r="G121" s="59"/>
    </row>
    <row r="122" spans="1:7" ht="18.75">
      <c r="A122" s="59"/>
      <c r="B122" s="59"/>
      <c r="C122" s="59"/>
      <c r="D122" s="59"/>
      <c r="E122" s="59"/>
      <c r="F122" s="59"/>
      <c r="G122" s="59"/>
    </row>
    <row r="123" spans="1:7" ht="18.75">
      <c r="A123" s="59"/>
      <c r="B123" s="59"/>
      <c r="C123" s="59"/>
      <c r="D123" s="59"/>
      <c r="E123" s="59"/>
      <c r="F123" s="59"/>
      <c r="G123" s="59"/>
    </row>
    <row r="124" spans="1:7" ht="18.75">
      <c r="A124" s="59"/>
      <c r="B124" s="59"/>
      <c r="C124" s="59"/>
      <c r="D124" s="59"/>
      <c r="E124" s="59"/>
      <c r="F124" s="59"/>
      <c r="G124" s="59"/>
    </row>
    <row r="125" spans="1:7" ht="18.75">
      <c r="A125" s="59"/>
      <c r="B125" s="59"/>
      <c r="C125" s="59"/>
      <c r="D125" s="59"/>
      <c r="E125" s="59"/>
      <c r="F125" s="59"/>
      <c r="G125" s="59"/>
    </row>
    <row r="126" spans="1:7" ht="18.75">
      <c r="A126" s="59"/>
      <c r="B126" s="59"/>
      <c r="C126" s="59"/>
      <c r="D126" s="59"/>
      <c r="E126" s="59"/>
      <c r="F126" s="59"/>
      <c r="G126" s="59"/>
    </row>
    <row r="127" spans="1:7" ht="18.75">
      <c r="A127" s="59"/>
      <c r="B127" s="59"/>
      <c r="C127" s="59"/>
      <c r="D127" s="59"/>
      <c r="E127" s="59"/>
      <c r="F127" s="59"/>
      <c r="G127" s="59"/>
    </row>
    <row r="128" spans="1:7" ht="18.75">
      <c r="A128" s="59"/>
      <c r="B128" s="59"/>
      <c r="C128" s="59"/>
      <c r="D128" s="59"/>
      <c r="E128" s="59"/>
      <c r="F128" s="59"/>
      <c r="G128" s="59"/>
    </row>
    <row r="129" spans="1:7" ht="18.75">
      <c r="A129" s="59"/>
      <c r="B129" s="59"/>
      <c r="C129" s="59"/>
      <c r="D129" s="59"/>
      <c r="E129" s="59"/>
      <c r="F129" s="59"/>
      <c r="G129" s="59"/>
    </row>
    <row r="130" spans="1:7" ht="18.75">
      <c r="A130" s="59"/>
      <c r="B130" s="59"/>
      <c r="C130" s="59"/>
      <c r="D130" s="59"/>
      <c r="E130" s="59"/>
      <c r="F130" s="59"/>
      <c r="G130" s="59"/>
    </row>
    <row r="131" spans="1:7" ht="18.75">
      <c r="A131" s="59"/>
      <c r="B131" s="59"/>
      <c r="C131" s="59"/>
      <c r="D131" s="59"/>
      <c r="E131" s="59"/>
      <c r="F131" s="59"/>
      <c r="G131" s="59"/>
    </row>
    <row r="132" spans="1:7" ht="18.75">
      <c r="A132" s="59"/>
      <c r="B132" s="59"/>
      <c r="C132" s="59"/>
      <c r="D132" s="59"/>
      <c r="E132" s="59"/>
      <c r="F132" s="59"/>
      <c r="G132" s="59"/>
    </row>
    <row r="133" spans="1:7" ht="18.75">
      <c r="A133" s="59"/>
      <c r="B133" s="59"/>
      <c r="C133" s="59"/>
      <c r="D133" s="59"/>
      <c r="E133" s="59"/>
      <c r="F133" s="59"/>
      <c r="G133" s="59"/>
    </row>
    <row r="134" spans="1:7" ht="18.75">
      <c r="A134" s="59"/>
      <c r="B134" s="59"/>
      <c r="C134" s="59"/>
      <c r="D134" s="59"/>
      <c r="E134" s="59"/>
      <c r="F134" s="59"/>
      <c r="G134" s="59"/>
    </row>
    <row r="135" spans="1:7" ht="18.75">
      <c r="A135" s="59"/>
      <c r="B135" s="59"/>
      <c r="C135" s="59"/>
      <c r="D135" s="59"/>
      <c r="E135" s="59"/>
      <c r="F135" s="59"/>
      <c r="G135" s="59"/>
    </row>
    <row r="136" spans="1:7" ht="18.75">
      <c r="A136" s="59"/>
      <c r="B136" s="59"/>
      <c r="C136" s="59"/>
      <c r="D136" s="59"/>
      <c r="E136" s="59"/>
      <c r="F136" s="59"/>
      <c r="G136" s="59"/>
    </row>
    <row r="137" spans="1:7" ht="18.75">
      <c r="A137" s="59"/>
      <c r="B137" s="59"/>
      <c r="C137" s="59"/>
      <c r="D137" s="59"/>
      <c r="E137" s="59"/>
      <c r="F137" s="59"/>
      <c r="G137" s="59"/>
    </row>
    <row r="138" spans="1:7" ht="18.75">
      <c r="A138" s="59"/>
      <c r="B138" s="59"/>
      <c r="C138" s="59"/>
      <c r="D138" s="59"/>
      <c r="E138" s="59"/>
      <c r="F138" s="59"/>
      <c r="G138" s="59"/>
    </row>
    <row r="139" spans="1:7" ht="18.75">
      <c r="A139" s="59"/>
      <c r="B139" s="59"/>
      <c r="C139" s="59"/>
      <c r="D139" s="59"/>
      <c r="E139" s="59"/>
      <c r="F139" s="59"/>
      <c r="G139" s="59"/>
    </row>
    <row r="140" spans="1:7" ht="18.75">
      <c r="A140" s="59"/>
      <c r="B140" s="59"/>
      <c r="C140" s="59"/>
      <c r="D140" s="59"/>
      <c r="E140" s="59"/>
      <c r="F140" s="59"/>
      <c r="G140" s="59"/>
    </row>
    <row r="141" spans="1:7" ht="18.75">
      <c r="A141" s="59"/>
      <c r="B141" s="59"/>
      <c r="C141" s="59"/>
      <c r="D141" s="59"/>
      <c r="E141" s="59"/>
      <c r="F141" s="59"/>
      <c r="G141" s="59"/>
    </row>
    <row r="142" spans="1:7" ht="18.75">
      <c r="A142" s="59"/>
      <c r="B142" s="59"/>
      <c r="C142" s="59"/>
      <c r="D142" s="59"/>
      <c r="E142" s="59"/>
      <c r="F142" s="59"/>
      <c r="G142" s="59"/>
    </row>
    <row r="143" spans="1:7" ht="18.75">
      <c r="A143" s="59"/>
      <c r="B143" s="59"/>
      <c r="C143" s="59"/>
      <c r="D143" s="59"/>
      <c r="E143" s="59"/>
      <c r="F143" s="59"/>
      <c r="G143" s="59"/>
    </row>
    <row r="144" spans="1:7" ht="18.75">
      <c r="A144" s="59"/>
      <c r="B144" s="59"/>
      <c r="C144" s="59"/>
      <c r="D144" s="59"/>
      <c r="E144" s="59"/>
      <c r="F144" s="59"/>
      <c r="G144" s="59"/>
    </row>
    <row r="145" spans="1:7" ht="18.75">
      <c r="A145" s="59"/>
      <c r="B145" s="59"/>
      <c r="C145" s="59"/>
      <c r="D145" s="59"/>
      <c r="E145" s="59"/>
      <c r="F145" s="59"/>
      <c r="G145" s="59"/>
    </row>
    <row r="146" spans="1:7" ht="18.75">
      <c r="A146" s="59"/>
      <c r="B146" s="59"/>
      <c r="C146" s="59"/>
      <c r="D146" s="59"/>
      <c r="E146" s="59"/>
      <c r="F146" s="59"/>
      <c r="G146" s="59"/>
    </row>
    <row r="147" spans="1:7" ht="18.75">
      <c r="A147" s="59"/>
      <c r="B147" s="59"/>
      <c r="C147" s="59"/>
      <c r="D147" s="59"/>
      <c r="E147" s="59"/>
      <c r="F147" s="59"/>
      <c r="G147" s="59"/>
    </row>
    <row r="148" spans="1:7" ht="18.75">
      <c r="A148" s="59"/>
      <c r="B148" s="59"/>
      <c r="C148" s="59"/>
      <c r="D148" s="59"/>
      <c r="E148" s="59"/>
      <c r="F148" s="59"/>
      <c r="G148" s="59"/>
    </row>
    <row r="149" spans="1:7" ht="18.75">
      <c r="A149" s="59"/>
      <c r="B149" s="59"/>
      <c r="C149" s="59"/>
      <c r="D149" s="59"/>
      <c r="E149" s="59"/>
      <c r="F149" s="59"/>
      <c r="G149" s="59"/>
    </row>
    <row r="150" spans="1:7" ht="18.75">
      <c r="A150" s="59"/>
      <c r="B150" s="59"/>
      <c r="C150" s="59"/>
      <c r="D150" s="59"/>
      <c r="E150" s="59"/>
      <c r="F150" s="59"/>
      <c r="G150" s="59"/>
    </row>
    <row r="151" spans="1:7" ht="18.75">
      <c r="A151" s="59"/>
      <c r="B151" s="59"/>
      <c r="C151" s="59"/>
      <c r="D151" s="59"/>
      <c r="E151" s="59"/>
      <c r="F151" s="59"/>
      <c r="G151" s="59"/>
    </row>
    <row r="152" spans="1:7" ht="18.75">
      <c r="A152" s="59"/>
      <c r="B152" s="59"/>
      <c r="C152" s="59"/>
      <c r="D152" s="59"/>
      <c r="E152" s="59"/>
      <c r="F152" s="59"/>
      <c r="G152" s="59"/>
    </row>
    <row r="153" spans="1:7" ht="18.75">
      <c r="A153" s="59"/>
      <c r="B153" s="59"/>
      <c r="C153" s="59"/>
      <c r="D153" s="59"/>
      <c r="E153" s="59"/>
      <c r="F153" s="59"/>
      <c r="G153" s="59"/>
    </row>
    <row r="154" spans="1:7" ht="18.75">
      <c r="A154" s="59"/>
      <c r="B154" s="59"/>
      <c r="C154" s="59"/>
      <c r="D154" s="59"/>
      <c r="E154" s="59"/>
      <c r="F154" s="59"/>
      <c r="G154" s="59"/>
    </row>
    <row r="155" spans="1:7" ht="18.75">
      <c r="A155" s="59"/>
      <c r="B155" s="59"/>
      <c r="C155" s="59"/>
      <c r="D155" s="59"/>
      <c r="E155" s="59"/>
      <c r="F155" s="59"/>
      <c r="G155" s="59"/>
    </row>
    <row r="156" spans="1:7" ht="18.75">
      <c r="A156" s="59"/>
      <c r="B156" s="59"/>
      <c r="C156" s="59"/>
      <c r="D156" s="59"/>
      <c r="E156" s="59"/>
      <c r="F156" s="59"/>
      <c r="G156" s="59"/>
    </row>
    <row r="157" spans="1:7" ht="18.75">
      <c r="A157" s="59"/>
      <c r="B157" s="59"/>
      <c r="C157" s="59"/>
      <c r="D157" s="59"/>
      <c r="E157" s="59"/>
      <c r="F157" s="59"/>
      <c r="G157" s="59"/>
    </row>
    <row r="158" spans="1:7" ht="18.75">
      <c r="A158" s="59"/>
      <c r="B158" s="59"/>
      <c r="C158" s="59"/>
      <c r="D158" s="59"/>
      <c r="E158" s="59"/>
      <c r="F158" s="59"/>
      <c r="G158" s="59"/>
    </row>
    <row r="159" spans="1:7" ht="18.75">
      <c r="A159" s="59"/>
      <c r="B159" s="59"/>
      <c r="C159" s="59"/>
      <c r="D159" s="59"/>
      <c r="E159" s="59"/>
      <c r="F159" s="59"/>
      <c r="G159" s="59"/>
    </row>
    <row r="160" spans="1:7" ht="18.75">
      <c r="A160" s="59"/>
      <c r="B160" s="59"/>
      <c r="C160" s="59"/>
      <c r="D160" s="59"/>
      <c r="E160" s="59"/>
      <c r="F160" s="59"/>
      <c r="G160" s="59"/>
    </row>
    <row r="161" spans="1:7" ht="18.75">
      <c r="A161" s="59"/>
      <c r="B161" s="59"/>
      <c r="C161" s="59"/>
      <c r="D161" s="59"/>
      <c r="E161" s="59"/>
      <c r="F161" s="59"/>
      <c r="G161" s="59"/>
    </row>
    <row r="162" spans="1:7" ht="18.75">
      <c r="A162" s="59"/>
      <c r="B162" s="59"/>
      <c r="C162" s="59"/>
      <c r="D162" s="59"/>
      <c r="E162" s="59"/>
      <c r="F162" s="59"/>
      <c r="G162" s="59"/>
    </row>
    <row r="163" spans="1:7" ht="18.75">
      <c r="A163" s="59"/>
      <c r="B163" s="59"/>
      <c r="C163" s="59"/>
      <c r="D163" s="59"/>
      <c r="E163" s="59"/>
      <c r="F163" s="59"/>
      <c r="G163" s="59"/>
    </row>
    <row r="164" spans="1:7" ht="18.75">
      <c r="A164" s="59"/>
      <c r="B164" s="59"/>
      <c r="C164" s="59"/>
      <c r="D164" s="59"/>
      <c r="E164" s="59"/>
      <c r="F164" s="59"/>
      <c r="G164" s="59"/>
    </row>
    <row r="165" spans="1:7" ht="18.75">
      <c r="A165" s="59"/>
      <c r="B165" s="59"/>
      <c r="C165" s="59"/>
      <c r="D165" s="59"/>
      <c r="E165" s="59"/>
      <c r="F165" s="59"/>
      <c r="G165" s="59"/>
    </row>
    <row r="166" spans="1:7" ht="18.75">
      <c r="A166" s="59"/>
      <c r="B166" s="59"/>
      <c r="C166" s="59"/>
      <c r="D166" s="59"/>
      <c r="E166" s="59"/>
      <c r="F166" s="59"/>
      <c r="G166" s="59"/>
    </row>
    <row r="167" spans="1:7" ht="18.75">
      <c r="A167" s="59"/>
      <c r="B167" s="59"/>
      <c r="C167" s="59"/>
      <c r="D167" s="59"/>
      <c r="E167" s="59"/>
      <c r="F167" s="59"/>
      <c r="G167" s="59"/>
    </row>
    <row r="168" spans="1:7" ht="18.75">
      <c r="A168" s="59"/>
      <c r="B168" s="59"/>
      <c r="C168" s="59"/>
      <c r="D168" s="59"/>
      <c r="E168" s="59"/>
      <c r="F168" s="59"/>
      <c r="G168" s="59"/>
    </row>
    <row r="169" spans="1:7" ht="18.75">
      <c r="A169" s="59"/>
      <c r="B169" s="59"/>
      <c r="C169" s="59"/>
      <c r="D169" s="59"/>
      <c r="E169" s="59"/>
      <c r="F169" s="59"/>
      <c r="G169" s="59"/>
    </row>
    <row r="170" spans="1:7" ht="18.75">
      <c r="A170" s="59"/>
      <c r="B170" s="59"/>
      <c r="C170" s="59"/>
      <c r="D170" s="59"/>
      <c r="E170" s="59"/>
      <c r="F170" s="59"/>
      <c r="G170" s="59"/>
    </row>
    <row r="171" spans="1:7" ht="18.75">
      <c r="A171" s="59"/>
      <c r="B171" s="59"/>
      <c r="C171" s="59"/>
      <c r="D171" s="59"/>
      <c r="E171" s="59"/>
      <c r="F171" s="59"/>
      <c r="G171" s="59"/>
    </row>
    <row r="172" spans="1:7" ht="18.75">
      <c r="A172" s="59"/>
      <c r="B172" s="59"/>
      <c r="C172" s="59"/>
      <c r="D172" s="59"/>
      <c r="E172" s="59"/>
      <c r="F172" s="59"/>
      <c r="G172" s="59"/>
    </row>
    <row r="173" spans="1:7" ht="18.75">
      <c r="A173" s="59"/>
      <c r="B173" s="59"/>
      <c r="C173" s="59"/>
      <c r="D173" s="59"/>
      <c r="E173" s="59"/>
      <c r="F173" s="59"/>
      <c r="G173" s="59"/>
    </row>
    <row r="174" spans="1:7" ht="18.75">
      <c r="A174" s="59"/>
      <c r="B174" s="59"/>
      <c r="C174" s="59"/>
      <c r="D174" s="59"/>
      <c r="E174" s="59"/>
      <c r="F174" s="59"/>
      <c r="G174" s="59"/>
    </row>
    <row r="175" spans="1:7" ht="18.75">
      <c r="A175" s="59"/>
      <c r="B175" s="59"/>
      <c r="C175" s="59"/>
      <c r="D175" s="59"/>
      <c r="E175" s="59"/>
      <c r="F175" s="59"/>
      <c r="G175" s="59"/>
    </row>
    <row r="176" spans="1:7" ht="18.75">
      <c r="A176" s="59"/>
      <c r="B176" s="59"/>
      <c r="C176" s="59"/>
      <c r="D176" s="59"/>
      <c r="E176" s="59"/>
      <c r="F176" s="59"/>
      <c r="G176" s="59"/>
    </row>
    <row r="177" spans="1:7" ht="18.75">
      <c r="A177" s="59"/>
      <c r="B177" s="59"/>
      <c r="C177" s="59"/>
      <c r="D177" s="59"/>
      <c r="E177" s="59"/>
      <c r="F177" s="59"/>
      <c r="G177" s="59"/>
    </row>
    <row r="178" spans="1:7" ht="18.75">
      <c r="A178" s="59"/>
      <c r="B178" s="59"/>
      <c r="C178" s="59"/>
      <c r="D178" s="59"/>
      <c r="E178" s="59"/>
      <c r="F178" s="59"/>
      <c r="G178" s="59"/>
    </row>
    <row r="179" spans="1:7" ht="18.75">
      <c r="A179" s="59"/>
      <c r="B179" s="59"/>
      <c r="C179" s="59"/>
      <c r="D179" s="59"/>
      <c r="E179" s="59"/>
      <c r="F179" s="59"/>
      <c r="G179" s="59"/>
    </row>
    <row r="180" spans="1:7" ht="18.75">
      <c r="A180" s="59"/>
      <c r="B180" s="59"/>
      <c r="C180" s="59"/>
      <c r="D180" s="59"/>
      <c r="E180" s="59"/>
      <c r="F180" s="59"/>
      <c r="G180" s="59"/>
    </row>
    <row r="181" spans="1:7" ht="18.75">
      <c r="A181" s="59"/>
      <c r="B181" s="59"/>
      <c r="C181" s="59"/>
      <c r="D181" s="59"/>
      <c r="E181" s="59"/>
      <c r="F181" s="59"/>
      <c r="G181" s="59"/>
    </row>
    <row r="182" spans="1:7" ht="18.75">
      <c r="A182" s="59"/>
      <c r="B182" s="59"/>
      <c r="C182" s="59"/>
      <c r="D182" s="59"/>
      <c r="E182" s="59"/>
      <c r="F182" s="59"/>
      <c r="G182" s="59"/>
    </row>
    <row r="183" spans="1:7" ht="18.75">
      <c r="A183" s="59"/>
      <c r="B183" s="59"/>
      <c r="C183" s="59"/>
      <c r="D183" s="59"/>
      <c r="E183" s="59"/>
      <c r="F183" s="59"/>
      <c r="G183" s="59"/>
    </row>
    <row r="184" spans="1:7" ht="18.75">
      <c r="A184" s="59"/>
      <c r="B184" s="59"/>
      <c r="C184" s="59"/>
      <c r="D184" s="59"/>
      <c r="E184" s="59"/>
      <c r="F184" s="59"/>
      <c r="G184" s="59"/>
    </row>
    <row r="185" spans="1:7" ht="18.75">
      <c r="A185" s="59"/>
      <c r="B185" s="59"/>
      <c r="C185" s="59"/>
      <c r="D185" s="59"/>
      <c r="E185" s="59"/>
      <c r="F185" s="59"/>
      <c r="G185" s="59"/>
    </row>
    <row r="186" spans="1:7" ht="18.75">
      <c r="A186" s="59"/>
      <c r="B186" s="59"/>
      <c r="C186" s="59"/>
      <c r="D186" s="59"/>
      <c r="E186" s="59"/>
      <c r="F186" s="59"/>
      <c r="G186" s="59"/>
    </row>
    <row r="187" spans="1:7" ht="18.75">
      <c r="A187" s="59"/>
      <c r="B187" s="59"/>
      <c r="C187" s="59"/>
      <c r="D187" s="59"/>
      <c r="E187" s="59"/>
      <c r="F187" s="59"/>
      <c r="G187" s="59"/>
    </row>
    <row r="188" spans="1:7" ht="18.75">
      <c r="A188" s="59"/>
      <c r="B188" s="59"/>
      <c r="C188" s="59"/>
      <c r="D188" s="59"/>
      <c r="E188" s="59"/>
      <c r="F188" s="59"/>
      <c r="G188" s="59"/>
    </row>
    <row r="189" spans="1:7" ht="18.75">
      <c r="A189" s="59"/>
      <c r="B189" s="59"/>
      <c r="C189" s="59"/>
      <c r="D189" s="59"/>
      <c r="E189" s="59"/>
      <c r="F189" s="59"/>
      <c r="G189" s="59"/>
    </row>
    <row r="190" spans="1:7" ht="18.75">
      <c r="A190" s="59"/>
      <c r="B190" s="59"/>
      <c r="C190" s="59"/>
      <c r="D190" s="59"/>
      <c r="E190" s="59"/>
      <c r="F190" s="59"/>
      <c r="G190" s="59"/>
    </row>
    <row r="191" spans="1:7" ht="18.75">
      <c r="A191" s="59"/>
      <c r="B191" s="59"/>
      <c r="C191" s="59"/>
      <c r="D191" s="59"/>
      <c r="E191" s="59"/>
      <c r="F191" s="59"/>
      <c r="G191" s="59"/>
    </row>
    <row r="192" spans="1:7" ht="18.75">
      <c r="A192" s="59"/>
      <c r="B192" s="59"/>
      <c r="C192" s="59"/>
      <c r="D192" s="59"/>
      <c r="E192" s="59"/>
      <c r="F192" s="59"/>
      <c r="G192" s="59"/>
    </row>
    <row r="193" spans="1:7" ht="18.75">
      <c r="A193" s="59"/>
      <c r="B193" s="59"/>
      <c r="C193" s="59"/>
      <c r="D193" s="59"/>
      <c r="E193" s="59"/>
      <c r="F193" s="59"/>
      <c r="G193" s="59"/>
    </row>
    <row r="194" spans="1:7" ht="18.75">
      <c r="A194" s="59"/>
      <c r="B194" s="59"/>
      <c r="C194" s="59"/>
      <c r="D194" s="59"/>
      <c r="E194" s="59"/>
      <c r="F194" s="59"/>
      <c r="G194" s="59"/>
    </row>
    <row r="195" spans="1:7" ht="18.75">
      <c r="A195" s="59"/>
      <c r="B195" s="59"/>
      <c r="C195" s="59"/>
      <c r="D195" s="59"/>
      <c r="E195" s="59"/>
      <c r="F195" s="59"/>
      <c r="G195" s="59"/>
    </row>
    <row r="196" spans="1:7" ht="18.75">
      <c r="A196" s="59"/>
      <c r="B196" s="59"/>
      <c r="C196" s="59"/>
      <c r="D196" s="59"/>
      <c r="E196" s="59"/>
      <c r="F196" s="59"/>
      <c r="G196" s="59"/>
    </row>
    <row r="197" spans="1:7" ht="18.75">
      <c r="A197" s="59"/>
      <c r="B197" s="59"/>
      <c r="C197" s="59"/>
      <c r="D197" s="59"/>
      <c r="E197" s="59"/>
      <c r="F197" s="59"/>
      <c r="G197" s="59"/>
    </row>
    <row r="198" spans="1:7" ht="18.75">
      <c r="A198" s="59"/>
      <c r="B198" s="59"/>
      <c r="C198" s="59"/>
      <c r="D198" s="59"/>
      <c r="E198" s="59"/>
      <c r="F198" s="59"/>
      <c r="G198" s="59"/>
    </row>
    <row r="199" spans="1:7" ht="18.75">
      <c r="A199" s="59"/>
      <c r="B199" s="59"/>
      <c r="C199" s="59"/>
      <c r="D199" s="59"/>
      <c r="E199" s="59"/>
      <c r="F199" s="59"/>
      <c r="G199" s="59"/>
    </row>
    <row r="200" spans="1:7" ht="18.75">
      <c r="A200" s="59"/>
      <c r="B200" s="59"/>
      <c r="C200" s="59"/>
      <c r="D200" s="59"/>
      <c r="E200" s="59"/>
      <c r="F200" s="59"/>
      <c r="G200" s="59"/>
    </row>
    <row r="201" spans="1:7" ht="18.75">
      <c r="A201" s="59"/>
      <c r="B201" s="59"/>
      <c r="C201" s="59"/>
      <c r="D201" s="59"/>
      <c r="E201" s="59"/>
      <c r="F201" s="59"/>
      <c r="G201" s="59"/>
    </row>
    <row r="202" spans="1:7" ht="18.75">
      <c r="A202" s="59"/>
      <c r="B202" s="59"/>
      <c r="C202" s="59"/>
      <c r="D202" s="59"/>
      <c r="E202" s="59"/>
      <c r="F202" s="59"/>
      <c r="G202" s="59"/>
    </row>
    <row r="203" spans="1:7" ht="18.75">
      <c r="A203" s="59"/>
      <c r="B203" s="59"/>
      <c r="C203" s="59"/>
      <c r="D203" s="59"/>
      <c r="E203" s="59"/>
      <c r="F203" s="59"/>
      <c r="G203" s="59"/>
    </row>
    <row r="204" spans="1:7" ht="18.75">
      <c r="A204" s="59"/>
      <c r="B204" s="59"/>
      <c r="C204" s="59"/>
      <c r="D204" s="59"/>
      <c r="E204" s="59"/>
      <c r="F204" s="59"/>
      <c r="G204" s="59"/>
    </row>
    <row r="205" spans="1:7" ht="18.75">
      <c r="A205" s="59"/>
      <c r="B205" s="59"/>
      <c r="C205" s="59"/>
      <c r="D205" s="59"/>
      <c r="E205" s="59"/>
      <c r="F205" s="59"/>
      <c r="G205" s="59"/>
    </row>
    <row r="206" spans="1:7" ht="18.75">
      <c r="A206" s="59"/>
      <c r="B206" s="59"/>
      <c r="C206" s="59"/>
      <c r="D206" s="59"/>
      <c r="E206" s="59"/>
      <c r="F206" s="59"/>
      <c r="G206" s="59"/>
    </row>
    <row r="207" spans="1:7" ht="18.75">
      <c r="A207" s="59"/>
      <c r="B207" s="59"/>
      <c r="C207" s="59"/>
      <c r="D207" s="59"/>
      <c r="E207" s="59"/>
      <c r="F207" s="59"/>
      <c r="G207" s="59"/>
    </row>
    <row r="208" spans="1:7" ht="18.75">
      <c r="A208" s="59"/>
      <c r="B208" s="59"/>
      <c r="C208" s="59"/>
      <c r="D208" s="59"/>
      <c r="E208" s="59"/>
      <c r="F208" s="59"/>
      <c r="G208" s="59"/>
    </row>
    <row r="209" spans="1:7" ht="18.75">
      <c r="A209" s="59"/>
      <c r="B209" s="59"/>
      <c r="C209" s="59"/>
      <c r="D209" s="59"/>
      <c r="E209" s="59"/>
      <c r="F209" s="59"/>
      <c r="G209" s="59"/>
    </row>
    <row r="210" spans="1:7" ht="18.75">
      <c r="A210" s="59"/>
      <c r="B210" s="59"/>
      <c r="C210" s="59"/>
      <c r="D210" s="59"/>
      <c r="E210" s="59"/>
      <c r="F210" s="59"/>
      <c r="G210" s="59"/>
    </row>
    <row r="211" spans="1:7" ht="18.75">
      <c r="A211" s="59"/>
      <c r="B211" s="59"/>
      <c r="C211" s="59"/>
      <c r="D211" s="59"/>
      <c r="E211" s="59"/>
      <c r="F211" s="59"/>
      <c r="G211" s="59"/>
    </row>
    <row r="212" spans="1:7" ht="18.75">
      <c r="A212" s="59"/>
      <c r="B212" s="59"/>
      <c r="C212" s="59"/>
      <c r="D212" s="59"/>
      <c r="E212" s="59"/>
      <c r="F212" s="59"/>
      <c r="G212" s="59"/>
    </row>
    <row r="213" spans="1:7" ht="18.75">
      <c r="A213" s="59"/>
      <c r="B213" s="59"/>
      <c r="C213" s="59"/>
      <c r="D213" s="59"/>
      <c r="E213" s="59"/>
      <c r="F213" s="59"/>
      <c r="G213" s="59"/>
    </row>
    <row r="214" spans="1:7" ht="18.75">
      <c r="A214" s="59"/>
      <c r="B214" s="59"/>
      <c r="C214" s="59"/>
      <c r="D214" s="59"/>
      <c r="E214" s="59"/>
      <c r="F214" s="59"/>
      <c r="G214" s="59"/>
    </row>
    <row r="215" spans="1:7" ht="18.75">
      <c r="A215" s="59"/>
      <c r="B215" s="59"/>
      <c r="C215" s="59"/>
      <c r="D215" s="59"/>
      <c r="E215" s="59"/>
      <c r="F215" s="59"/>
      <c r="G215" s="59"/>
    </row>
    <row r="216" spans="1:7" ht="18.75">
      <c r="A216" s="59"/>
      <c r="B216" s="59"/>
      <c r="C216" s="59"/>
      <c r="D216" s="59"/>
      <c r="E216" s="59"/>
      <c r="F216" s="59"/>
      <c r="G216" s="59"/>
    </row>
    <row r="217" spans="1:7" ht="18.75">
      <c r="A217" s="59"/>
      <c r="B217" s="59"/>
      <c r="C217" s="59"/>
      <c r="D217" s="59"/>
      <c r="E217" s="59"/>
      <c r="F217" s="59"/>
      <c r="G217" s="59"/>
    </row>
    <row r="218" spans="1:7" ht="18.75">
      <c r="A218" s="59"/>
      <c r="B218" s="59"/>
      <c r="C218" s="59"/>
      <c r="D218" s="59"/>
      <c r="E218" s="59"/>
      <c r="F218" s="59"/>
      <c r="G218" s="59"/>
    </row>
    <row r="219" spans="1:7" ht="18.75">
      <c r="A219" s="59"/>
      <c r="B219" s="59"/>
      <c r="C219" s="59"/>
      <c r="D219" s="59"/>
      <c r="E219" s="59"/>
      <c r="F219" s="59"/>
      <c r="G219" s="59"/>
    </row>
    <row r="220" spans="1:7" ht="18.75">
      <c r="A220" s="59"/>
      <c r="B220" s="59"/>
      <c r="C220" s="59"/>
      <c r="D220" s="59"/>
      <c r="E220" s="59"/>
      <c r="F220" s="59"/>
      <c r="G220" s="59"/>
    </row>
    <row r="221" spans="1:7" ht="18.75">
      <c r="A221" s="59"/>
      <c r="B221" s="59"/>
      <c r="C221" s="59"/>
      <c r="D221" s="59"/>
      <c r="E221" s="59"/>
      <c r="F221" s="59"/>
      <c r="G221" s="59"/>
    </row>
    <row r="222" spans="1:7" ht="18.75">
      <c r="A222" s="59"/>
      <c r="B222" s="59"/>
      <c r="C222" s="59"/>
      <c r="D222" s="59"/>
      <c r="E222" s="59"/>
      <c r="F222" s="59"/>
      <c r="G222" s="59"/>
    </row>
    <row r="223" spans="1:7" ht="18.75">
      <c r="A223" s="59"/>
      <c r="B223" s="59"/>
      <c r="C223" s="59"/>
      <c r="D223" s="59"/>
      <c r="E223" s="59"/>
      <c r="F223" s="59"/>
      <c r="G223" s="59"/>
    </row>
    <row r="224" spans="1:7" ht="18.75">
      <c r="A224" s="59"/>
      <c r="B224" s="59"/>
      <c r="C224" s="59"/>
      <c r="D224" s="59"/>
      <c r="E224" s="59"/>
      <c r="F224" s="59"/>
      <c r="G224" s="59"/>
    </row>
    <row r="225" spans="1:7" ht="18.75">
      <c r="A225" s="59"/>
      <c r="B225" s="59"/>
      <c r="C225" s="59"/>
      <c r="D225" s="59"/>
      <c r="E225" s="59"/>
      <c r="F225" s="59"/>
      <c r="G225" s="59"/>
    </row>
    <row r="226" spans="1:7" ht="18.75">
      <c r="A226" s="59"/>
      <c r="B226" s="59"/>
      <c r="C226" s="59"/>
      <c r="D226" s="59"/>
      <c r="E226" s="59"/>
      <c r="F226" s="59"/>
      <c r="G226" s="59"/>
    </row>
    <row r="227" spans="1:7" ht="18.75">
      <c r="A227" s="59"/>
      <c r="B227" s="59"/>
      <c r="C227" s="59"/>
      <c r="D227" s="59"/>
      <c r="E227" s="59"/>
      <c r="F227" s="59"/>
      <c r="G227" s="59"/>
    </row>
    <row r="228" spans="1:7" ht="18.75">
      <c r="A228" s="59"/>
      <c r="B228" s="59"/>
      <c r="C228" s="59"/>
      <c r="D228" s="59"/>
      <c r="E228" s="59"/>
      <c r="F228" s="59"/>
      <c r="G228" s="59"/>
    </row>
    <row r="229" spans="1:7" ht="18.75">
      <c r="A229" s="59"/>
      <c r="B229" s="59"/>
      <c r="C229" s="59"/>
      <c r="D229" s="59"/>
      <c r="E229" s="59"/>
      <c r="F229" s="59"/>
      <c r="G229" s="59"/>
    </row>
    <row r="230" spans="1:7" ht="18.75">
      <c r="A230" s="59"/>
      <c r="B230" s="59"/>
      <c r="C230" s="59"/>
      <c r="D230" s="59"/>
      <c r="E230" s="59"/>
      <c r="F230" s="59"/>
      <c r="G230" s="59"/>
    </row>
    <row r="231" spans="1:7" ht="18.75">
      <c r="A231" s="59"/>
      <c r="B231" s="59"/>
      <c r="C231" s="59"/>
      <c r="D231" s="59"/>
      <c r="E231" s="59"/>
      <c r="F231" s="59"/>
      <c r="G231" s="59"/>
    </row>
    <row r="232" spans="1:7" ht="18.75">
      <c r="A232" s="59"/>
      <c r="B232" s="59"/>
      <c r="C232" s="59"/>
      <c r="D232" s="59"/>
      <c r="E232" s="59"/>
      <c r="F232" s="59"/>
      <c r="G232" s="59"/>
    </row>
    <row r="233" spans="1:7" ht="18.75">
      <c r="A233" s="59"/>
      <c r="B233" s="59"/>
      <c r="C233" s="59"/>
      <c r="D233" s="59"/>
      <c r="E233" s="59"/>
      <c r="F233" s="59"/>
      <c r="G233" s="59"/>
    </row>
    <row r="234" spans="1:7" ht="18.75">
      <c r="A234" s="59"/>
      <c r="B234" s="59"/>
      <c r="C234" s="59"/>
      <c r="D234" s="59"/>
      <c r="E234" s="59"/>
      <c r="F234" s="59"/>
      <c r="G234" s="59"/>
    </row>
    <row r="235" spans="1:7" ht="18.75">
      <c r="A235" s="59"/>
      <c r="B235" s="59"/>
      <c r="C235" s="59"/>
      <c r="D235" s="59"/>
      <c r="E235" s="59"/>
      <c r="F235" s="59"/>
      <c r="G235" s="59"/>
    </row>
    <row r="236" spans="1:7" ht="18.75">
      <c r="A236" s="59"/>
      <c r="B236" s="59"/>
      <c r="C236" s="59"/>
      <c r="D236" s="59"/>
      <c r="E236" s="59"/>
      <c r="F236" s="59"/>
      <c r="G236" s="59"/>
    </row>
    <row r="237" spans="1:7" ht="18.75">
      <c r="A237" s="59"/>
      <c r="B237" s="59"/>
      <c r="C237" s="59"/>
      <c r="D237" s="59"/>
      <c r="E237" s="59"/>
      <c r="F237" s="59"/>
      <c r="G237" s="59"/>
    </row>
    <row r="238" spans="1:7" ht="18.75">
      <c r="A238" s="59"/>
      <c r="B238" s="59"/>
      <c r="C238" s="59"/>
      <c r="D238" s="59"/>
      <c r="E238" s="59"/>
      <c r="F238" s="59"/>
      <c r="G238" s="59"/>
    </row>
    <row r="239" spans="1:7" ht="18.75">
      <c r="A239" s="59"/>
      <c r="B239" s="59"/>
      <c r="C239" s="59"/>
      <c r="D239" s="59"/>
      <c r="E239" s="59"/>
      <c r="F239" s="59"/>
      <c r="G239" s="59"/>
    </row>
    <row r="240" spans="1:7" ht="18.75">
      <c r="A240" s="59"/>
      <c r="B240" s="59"/>
      <c r="C240" s="59"/>
      <c r="D240" s="59"/>
      <c r="E240" s="59"/>
      <c r="F240" s="59"/>
      <c r="G240" s="59"/>
    </row>
    <row r="241" spans="1:7" ht="18.75">
      <c r="A241" s="59"/>
      <c r="B241" s="59"/>
      <c r="C241" s="59"/>
      <c r="D241" s="59"/>
      <c r="E241" s="59"/>
      <c r="F241" s="59"/>
      <c r="G241" s="59"/>
    </row>
    <row r="242" spans="1:7" ht="18.75">
      <c r="A242" s="59"/>
      <c r="B242" s="59"/>
      <c r="C242" s="59"/>
      <c r="D242" s="59"/>
      <c r="E242" s="59"/>
      <c r="F242" s="59"/>
      <c r="G242" s="59"/>
    </row>
    <row r="243" spans="1:7" ht="18.75">
      <c r="A243" s="59"/>
      <c r="B243" s="59"/>
      <c r="C243" s="59"/>
      <c r="D243" s="59"/>
      <c r="E243" s="59"/>
      <c r="F243" s="59"/>
      <c r="G243" s="59"/>
    </row>
    <row r="244" spans="1:7" ht="18.75">
      <c r="A244" s="59"/>
      <c r="B244" s="59"/>
      <c r="C244" s="59"/>
      <c r="D244" s="59"/>
      <c r="E244" s="59"/>
      <c r="F244" s="59"/>
      <c r="G244" s="59"/>
    </row>
    <row r="245" spans="1:7" ht="18.75">
      <c r="A245" s="59"/>
      <c r="B245" s="59"/>
      <c r="C245" s="59"/>
      <c r="D245" s="59"/>
      <c r="E245" s="59"/>
      <c r="F245" s="59"/>
      <c r="G245" s="59"/>
    </row>
    <row r="246" spans="1:7" ht="18.75">
      <c r="A246" s="59"/>
      <c r="B246" s="59"/>
      <c r="C246" s="59"/>
      <c r="D246" s="59"/>
      <c r="E246" s="59"/>
      <c r="F246" s="59"/>
      <c r="G246" s="59"/>
    </row>
    <row r="247" spans="1:7" ht="18.75">
      <c r="A247" s="59"/>
      <c r="B247" s="59"/>
      <c r="C247" s="59"/>
      <c r="D247" s="59"/>
      <c r="E247" s="59"/>
      <c r="F247" s="59"/>
      <c r="G247" s="59"/>
    </row>
    <row r="248" spans="1:7" ht="18.75">
      <c r="A248" s="59"/>
      <c r="B248" s="59"/>
      <c r="C248" s="59"/>
      <c r="D248" s="59"/>
      <c r="E248" s="59"/>
      <c r="F248" s="59"/>
      <c r="G248" s="59"/>
    </row>
    <row r="249" spans="1:7" ht="18.75">
      <c r="A249" s="59"/>
      <c r="B249" s="59"/>
      <c r="C249" s="59"/>
      <c r="D249" s="59"/>
      <c r="E249" s="59"/>
      <c r="F249" s="59"/>
      <c r="G249" s="59"/>
    </row>
    <row r="250" spans="1:7" ht="18.75">
      <c r="A250" s="59"/>
      <c r="B250" s="59"/>
      <c r="C250" s="59"/>
      <c r="D250" s="59"/>
      <c r="E250" s="59"/>
      <c r="F250" s="59"/>
      <c r="G250" s="59"/>
    </row>
    <row r="251" spans="1:7" ht="18.75">
      <c r="A251" s="59"/>
      <c r="B251" s="59"/>
      <c r="C251" s="59"/>
      <c r="D251" s="59"/>
      <c r="E251" s="59"/>
      <c r="F251" s="59"/>
      <c r="G251" s="59"/>
    </row>
    <row r="252" spans="1:7" ht="18.75">
      <c r="A252" s="59"/>
      <c r="B252" s="59"/>
      <c r="C252" s="59"/>
      <c r="D252" s="59"/>
      <c r="E252" s="59"/>
      <c r="F252" s="59"/>
      <c r="G252" s="59"/>
    </row>
    <row r="253" spans="1:7" ht="18.75">
      <c r="A253" s="59"/>
      <c r="B253" s="59"/>
      <c r="C253" s="59"/>
      <c r="D253" s="59"/>
      <c r="E253" s="59"/>
      <c r="F253" s="59"/>
      <c r="G253" s="59"/>
    </row>
    <row r="254" spans="1:7" ht="18.75">
      <c r="A254" s="59"/>
      <c r="B254" s="59"/>
      <c r="C254" s="59"/>
      <c r="D254" s="59"/>
      <c r="E254" s="59"/>
      <c r="F254" s="59"/>
      <c r="G254" s="59"/>
    </row>
    <row r="255" spans="1:7" ht="18.75">
      <c r="A255" s="59"/>
      <c r="B255" s="59"/>
      <c r="C255" s="59"/>
      <c r="D255" s="59"/>
      <c r="E255" s="59"/>
      <c r="F255" s="59"/>
      <c r="G255" s="59"/>
    </row>
    <row r="256" spans="1:7" ht="18.75">
      <c r="A256" s="59"/>
      <c r="B256" s="59"/>
      <c r="C256" s="59"/>
      <c r="D256" s="59"/>
      <c r="E256" s="59"/>
      <c r="F256" s="59"/>
      <c r="G256" s="59"/>
    </row>
    <row r="257" spans="1:7" ht="18.75">
      <c r="A257" s="59"/>
      <c r="B257" s="59"/>
      <c r="C257" s="59"/>
      <c r="D257" s="59"/>
      <c r="E257" s="59"/>
      <c r="F257" s="59"/>
      <c r="G257" s="59"/>
    </row>
    <row r="258" spans="1:7" ht="18.75">
      <c r="A258" s="59"/>
      <c r="B258" s="59"/>
      <c r="C258" s="59"/>
      <c r="D258" s="59"/>
      <c r="E258" s="59"/>
      <c r="F258" s="59"/>
      <c r="G258" s="59"/>
    </row>
    <row r="259" spans="1:7" ht="18.75">
      <c r="A259" s="59"/>
      <c r="B259" s="59"/>
      <c r="C259" s="59"/>
      <c r="D259" s="59"/>
      <c r="E259" s="59"/>
      <c r="F259" s="59"/>
      <c r="G259" s="59"/>
    </row>
    <row r="260" spans="1:7" ht="18.75">
      <c r="A260" s="59"/>
      <c r="B260" s="59"/>
      <c r="C260" s="59"/>
      <c r="D260" s="59"/>
      <c r="E260" s="59"/>
      <c r="F260" s="59"/>
      <c r="G260" s="59"/>
    </row>
    <row r="261" spans="1:7" ht="18.75">
      <c r="A261" s="59"/>
      <c r="B261" s="59"/>
      <c r="C261" s="59"/>
      <c r="D261" s="59"/>
      <c r="E261" s="59"/>
      <c r="F261" s="59"/>
      <c r="G261" s="59"/>
    </row>
    <row r="262" spans="1:7" ht="18.75">
      <c r="A262" s="59"/>
      <c r="B262" s="59"/>
      <c r="C262" s="59"/>
      <c r="D262" s="59"/>
      <c r="E262" s="59"/>
      <c r="F262" s="59"/>
      <c r="G262" s="59"/>
    </row>
    <row r="263" spans="1:7" ht="18.75">
      <c r="A263" s="59"/>
      <c r="B263" s="59"/>
      <c r="C263" s="59"/>
      <c r="D263" s="59"/>
      <c r="E263" s="59"/>
      <c r="F263" s="59"/>
      <c r="G263" s="59"/>
    </row>
    <row r="264" spans="1:7" ht="18.75">
      <c r="A264" s="59"/>
      <c r="B264" s="59"/>
      <c r="C264" s="59"/>
      <c r="D264" s="59"/>
      <c r="E264" s="59"/>
      <c r="F264" s="59"/>
      <c r="G264" s="59"/>
    </row>
    <row r="265" spans="1:7" ht="18.75">
      <c r="A265" s="59"/>
      <c r="B265" s="59"/>
      <c r="C265" s="59"/>
      <c r="D265" s="59"/>
      <c r="E265" s="59"/>
      <c r="F265" s="59"/>
      <c r="G265" s="59"/>
    </row>
    <row r="266" spans="1:7" ht="18.75">
      <c r="A266" s="59"/>
      <c r="B266" s="59"/>
      <c r="C266" s="59"/>
      <c r="D266" s="59"/>
      <c r="E266" s="59"/>
      <c r="F266" s="59"/>
      <c r="G266" s="59"/>
    </row>
    <row r="267" spans="1:7" ht="18.75">
      <c r="A267" s="59"/>
      <c r="B267" s="59"/>
      <c r="C267" s="59"/>
      <c r="D267" s="59"/>
      <c r="E267" s="59"/>
      <c r="F267" s="59"/>
      <c r="G267" s="59"/>
    </row>
    <row r="268" spans="1:7" ht="18.75">
      <c r="A268" s="59"/>
      <c r="B268" s="59"/>
      <c r="C268" s="59"/>
      <c r="D268" s="59"/>
      <c r="E268" s="59"/>
      <c r="F268" s="59"/>
      <c r="G268" s="59"/>
    </row>
    <row r="269" spans="1:7" ht="18.75">
      <c r="A269" s="59"/>
      <c r="B269" s="59"/>
      <c r="C269" s="59"/>
      <c r="D269" s="59"/>
      <c r="E269" s="59"/>
      <c r="F269" s="59"/>
      <c r="G269" s="59"/>
    </row>
    <row r="270" spans="1:7" ht="18.75">
      <c r="A270" s="59"/>
      <c r="B270" s="59"/>
      <c r="C270" s="59"/>
      <c r="D270" s="59"/>
      <c r="E270" s="59"/>
      <c r="F270" s="59"/>
      <c r="G270" s="59"/>
    </row>
    <row r="271" spans="1:7" ht="18.75">
      <c r="A271" s="59"/>
      <c r="B271" s="59"/>
      <c r="C271" s="59"/>
      <c r="D271" s="59"/>
      <c r="E271" s="59"/>
      <c r="F271" s="59"/>
      <c r="G271" s="59"/>
    </row>
    <row r="272" spans="1:7" ht="18.75">
      <c r="A272" s="59"/>
      <c r="B272" s="59"/>
      <c r="C272" s="59"/>
      <c r="D272" s="59"/>
      <c r="E272" s="59"/>
      <c r="F272" s="59"/>
      <c r="G272" s="59"/>
    </row>
    <row r="273" spans="1:7" ht="18.75">
      <c r="A273" s="59"/>
      <c r="B273" s="59"/>
      <c r="C273" s="59"/>
      <c r="D273" s="59"/>
      <c r="E273" s="59"/>
      <c r="F273" s="59"/>
      <c r="G273" s="59"/>
    </row>
    <row r="274" spans="1:7" ht="18.75">
      <c r="A274" s="59"/>
      <c r="B274" s="59"/>
      <c r="C274" s="59"/>
      <c r="D274" s="59"/>
      <c r="E274" s="59"/>
      <c r="F274" s="59"/>
      <c r="G274" s="59"/>
    </row>
    <row r="275" spans="1:7" ht="18.75">
      <c r="A275" s="59"/>
      <c r="B275" s="59"/>
      <c r="C275" s="59"/>
      <c r="D275" s="59"/>
      <c r="E275" s="59"/>
      <c r="F275" s="59"/>
      <c r="G275" s="59"/>
    </row>
    <row r="276" spans="1:7" ht="18.75">
      <c r="A276" s="59"/>
      <c r="B276" s="59"/>
      <c r="C276" s="59"/>
      <c r="D276" s="59"/>
      <c r="E276" s="59"/>
      <c r="F276" s="59"/>
      <c r="G276" s="59"/>
    </row>
    <row r="277" spans="1:7" ht="18.75">
      <c r="A277" s="59"/>
      <c r="B277" s="59"/>
      <c r="C277" s="59"/>
      <c r="D277" s="59"/>
      <c r="E277" s="59"/>
      <c r="F277" s="59"/>
      <c r="G277" s="59"/>
    </row>
    <row r="278" spans="1:7" ht="18.75">
      <c r="A278" s="59"/>
      <c r="B278" s="59"/>
      <c r="C278" s="59"/>
      <c r="D278" s="59"/>
      <c r="E278" s="59"/>
      <c r="F278" s="59"/>
      <c r="G278" s="59"/>
    </row>
    <row r="279" spans="1:7" ht="18.75">
      <c r="A279" s="59"/>
      <c r="B279" s="59"/>
      <c r="C279" s="59"/>
      <c r="D279" s="59"/>
      <c r="E279" s="59"/>
      <c r="F279" s="59"/>
      <c r="G279" s="59"/>
    </row>
    <row r="280" spans="1:7" ht="18.75">
      <c r="A280" s="59"/>
      <c r="B280" s="59"/>
      <c r="C280" s="59"/>
      <c r="D280" s="59"/>
      <c r="E280" s="59"/>
      <c r="F280" s="59"/>
      <c r="G280" s="59"/>
    </row>
    <row r="281" spans="1:7" ht="18.75">
      <c r="A281" s="59"/>
      <c r="B281" s="59"/>
      <c r="C281" s="59"/>
      <c r="D281" s="59"/>
      <c r="E281" s="59"/>
      <c r="F281" s="59"/>
      <c r="G281" s="59"/>
    </row>
    <row r="282" spans="1:7" ht="18.75">
      <c r="A282" s="59"/>
      <c r="B282" s="59"/>
      <c r="C282" s="59"/>
      <c r="D282" s="59"/>
      <c r="E282" s="59"/>
      <c r="F282" s="59"/>
      <c r="G282" s="59"/>
    </row>
    <row r="283" spans="1:7" ht="18.75">
      <c r="A283" s="59"/>
      <c r="B283" s="59"/>
      <c r="C283" s="59"/>
      <c r="D283" s="59"/>
      <c r="E283" s="59"/>
      <c r="F283" s="59"/>
      <c r="G283" s="59"/>
    </row>
    <row r="284" spans="1:7" ht="18.75">
      <c r="A284" s="59"/>
      <c r="B284" s="59"/>
      <c r="C284" s="59"/>
      <c r="D284" s="59"/>
      <c r="E284" s="59"/>
      <c r="F284" s="59"/>
      <c r="G284" s="59"/>
    </row>
    <row r="285" spans="1:7" ht="18.75">
      <c r="A285" s="59"/>
      <c r="B285" s="59"/>
      <c r="C285" s="59"/>
      <c r="D285" s="59"/>
      <c r="E285" s="59"/>
      <c r="F285" s="59"/>
      <c r="G285" s="59"/>
    </row>
    <row r="286" spans="1:7" ht="18.75">
      <c r="A286" s="59"/>
      <c r="B286" s="59"/>
      <c r="C286" s="59"/>
      <c r="D286" s="59"/>
      <c r="E286" s="59"/>
      <c r="F286" s="59"/>
      <c r="G286" s="59"/>
    </row>
    <row r="287" spans="1:7" ht="18.75">
      <c r="A287" s="59"/>
      <c r="B287" s="59"/>
      <c r="C287" s="59"/>
      <c r="D287" s="59"/>
      <c r="E287" s="59"/>
      <c r="F287" s="59"/>
      <c r="G287" s="59"/>
    </row>
    <row r="288" spans="1:7" ht="18.75">
      <c r="A288" s="59"/>
      <c r="B288" s="59"/>
      <c r="C288" s="59"/>
      <c r="D288" s="59"/>
      <c r="E288" s="59"/>
      <c r="F288" s="59"/>
      <c r="G288" s="59"/>
    </row>
    <row r="289" spans="1:7" ht="18.75">
      <c r="A289" s="59"/>
      <c r="B289" s="59"/>
      <c r="C289" s="59"/>
      <c r="D289" s="59"/>
      <c r="E289" s="59"/>
      <c r="F289" s="59"/>
      <c r="G289" s="59"/>
    </row>
    <row r="290" spans="1:7" ht="18.75">
      <c r="A290" s="59"/>
      <c r="B290" s="59"/>
      <c r="C290" s="59"/>
      <c r="D290" s="59"/>
      <c r="E290" s="59"/>
      <c r="F290" s="59"/>
      <c r="G290" s="59"/>
    </row>
    <row r="291" spans="1:7" ht="18.75">
      <c r="A291" s="59"/>
      <c r="B291" s="59"/>
      <c r="C291" s="59"/>
      <c r="D291" s="59"/>
      <c r="E291" s="59"/>
      <c r="F291" s="59"/>
      <c r="G291" s="59"/>
    </row>
    <row r="292" spans="1:7" ht="18.75">
      <c r="A292" s="59"/>
      <c r="B292" s="59"/>
      <c r="C292" s="59"/>
      <c r="D292" s="59"/>
      <c r="E292" s="59"/>
      <c r="F292" s="59"/>
      <c r="G292" s="59"/>
    </row>
    <row r="293" spans="1:7" ht="18.75">
      <c r="A293" s="59"/>
      <c r="B293" s="59"/>
      <c r="C293" s="59"/>
      <c r="D293" s="59"/>
      <c r="E293" s="59"/>
      <c r="F293" s="59"/>
      <c r="G293" s="59"/>
    </row>
    <row r="294" spans="1:7" ht="18.75">
      <c r="A294" s="59"/>
      <c r="B294" s="59"/>
      <c r="C294" s="59"/>
      <c r="D294" s="59"/>
      <c r="E294" s="59"/>
      <c r="F294" s="59"/>
      <c r="G294" s="59"/>
    </row>
    <row r="295" spans="1:7" ht="18.75">
      <c r="A295" s="59"/>
      <c r="B295" s="59"/>
      <c r="C295" s="59"/>
      <c r="D295" s="59"/>
      <c r="E295" s="59"/>
      <c r="F295" s="59"/>
      <c r="G295" s="59"/>
    </row>
    <row r="296" spans="1:7" ht="18.75">
      <c r="A296" s="59"/>
      <c r="B296" s="59"/>
      <c r="C296" s="59"/>
      <c r="D296" s="59"/>
      <c r="E296" s="59"/>
      <c r="F296" s="59"/>
      <c r="G296" s="59"/>
    </row>
    <row r="297" spans="1:7" ht="18.75">
      <c r="A297" s="59"/>
      <c r="B297" s="59"/>
      <c r="C297" s="59"/>
      <c r="D297" s="59"/>
      <c r="E297" s="59"/>
      <c r="F297" s="59"/>
      <c r="G297" s="59"/>
    </row>
    <row r="298" spans="1:7" ht="18.75">
      <c r="A298" s="59"/>
      <c r="B298" s="59"/>
      <c r="C298" s="59"/>
      <c r="D298" s="59"/>
      <c r="E298" s="59"/>
      <c r="F298" s="59"/>
      <c r="G298" s="59"/>
    </row>
    <row r="299" spans="1:7" ht="18.75">
      <c r="A299" s="59"/>
      <c r="B299" s="59"/>
      <c r="C299" s="59"/>
      <c r="D299" s="59"/>
      <c r="E299" s="59"/>
      <c r="F299" s="59"/>
      <c r="G299" s="59"/>
    </row>
    <row r="300" spans="1:7" ht="18.75">
      <c r="A300" s="59"/>
      <c r="B300" s="59"/>
      <c r="C300" s="59"/>
      <c r="D300" s="59"/>
      <c r="E300" s="59"/>
      <c r="F300" s="59"/>
      <c r="G300" s="59"/>
    </row>
    <row r="301" spans="1:7" ht="18.75">
      <c r="A301" s="59"/>
      <c r="B301" s="59"/>
      <c r="C301" s="59"/>
      <c r="D301" s="59"/>
      <c r="E301" s="59"/>
      <c r="F301" s="59"/>
      <c r="G301" s="59"/>
    </row>
    <row r="302" spans="1:7" ht="18.75">
      <c r="A302" s="59"/>
      <c r="B302" s="59"/>
      <c r="C302" s="59"/>
      <c r="D302" s="59"/>
      <c r="E302" s="59"/>
      <c r="F302" s="59"/>
      <c r="G302" s="59"/>
    </row>
    <row r="303" spans="1:7" ht="18.75">
      <c r="A303" s="59"/>
      <c r="B303" s="59"/>
      <c r="C303" s="59"/>
      <c r="D303" s="59"/>
      <c r="E303" s="59"/>
      <c r="F303" s="59"/>
      <c r="G303" s="59"/>
    </row>
    <row r="304" spans="1:7" ht="18.75">
      <c r="A304" s="59"/>
      <c r="B304" s="59"/>
      <c r="C304" s="59"/>
      <c r="D304" s="59"/>
      <c r="E304" s="59"/>
      <c r="F304" s="59"/>
      <c r="G304" s="59"/>
    </row>
    <row r="305" spans="1:7" ht="18.75">
      <c r="A305" s="59"/>
      <c r="B305" s="59"/>
      <c r="C305" s="59"/>
      <c r="D305" s="59"/>
      <c r="E305" s="59"/>
      <c r="F305" s="59"/>
      <c r="G305" s="59"/>
    </row>
    <row r="306" spans="1:7" ht="18.75">
      <c r="A306" s="59"/>
      <c r="B306" s="59"/>
      <c r="C306" s="59"/>
      <c r="D306" s="59"/>
      <c r="E306" s="59"/>
      <c r="F306" s="59"/>
      <c r="G306" s="59"/>
    </row>
    <row r="307" spans="1:7" ht="18.75">
      <c r="A307" s="59"/>
      <c r="B307" s="59"/>
      <c r="C307" s="59"/>
      <c r="D307" s="59"/>
      <c r="E307" s="59"/>
      <c r="F307" s="59"/>
      <c r="G307" s="59"/>
    </row>
    <row r="308" spans="1:7" ht="18.75">
      <c r="A308" s="59"/>
      <c r="B308" s="59"/>
      <c r="C308" s="59"/>
      <c r="D308" s="59"/>
      <c r="E308" s="59"/>
      <c r="F308" s="59"/>
      <c r="G308" s="59"/>
    </row>
    <row r="309" spans="1:7" ht="18.75">
      <c r="A309" s="59"/>
      <c r="B309" s="59"/>
      <c r="C309" s="59"/>
      <c r="D309" s="59"/>
      <c r="E309" s="59"/>
      <c r="F309" s="59"/>
      <c r="G309" s="59"/>
    </row>
    <row r="310" spans="1:7" ht="18.75">
      <c r="A310" s="59"/>
      <c r="B310" s="59"/>
      <c r="C310" s="59"/>
      <c r="D310" s="59"/>
      <c r="E310" s="59"/>
      <c r="F310" s="59"/>
      <c r="G310" s="59"/>
    </row>
    <row r="311" spans="1:7" ht="18.75">
      <c r="A311" s="59"/>
      <c r="B311" s="59"/>
      <c r="C311" s="59"/>
      <c r="D311" s="59"/>
      <c r="E311" s="59"/>
      <c r="F311" s="59"/>
      <c r="G311" s="59"/>
    </row>
    <row r="312" spans="1:7" ht="18.75">
      <c r="A312" s="59"/>
      <c r="B312" s="59"/>
      <c r="C312" s="59"/>
      <c r="D312" s="59"/>
      <c r="E312" s="59"/>
      <c r="F312" s="59"/>
      <c r="G312" s="59"/>
    </row>
    <row r="313" spans="1:7" ht="18.75">
      <c r="A313" s="59"/>
      <c r="B313" s="59"/>
      <c r="C313" s="59"/>
      <c r="D313" s="59"/>
      <c r="E313" s="59"/>
      <c r="F313" s="59"/>
      <c r="G313" s="59"/>
    </row>
    <row r="314" spans="1:7" ht="18.75">
      <c r="A314" s="59"/>
      <c r="B314" s="59"/>
      <c r="C314" s="59"/>
      <c r="D314" s="59"/>
      <c r="E314" s="59"/>
      <c r="F314" s="59"/>
      <c r="G314" s="59"/>
    </row>
    <row r="315" spans="1:7" ht="18.75">
      <c r="A315" s="59"/>
      <c r="B315" s="59"/>
      <c r="C315" s="59"/>
      <c r="D315" s="59"/>
      <c r="E315" s="59"/>
      <c r="F315" s="59"/>
      <c r="G315" s="59"/>
    </row>
    <row r="316" spans="1:7" ht="18.75">
      <c r="A316" s="59"/>
      <c r="B316" s="59"/>
      <c r="C316" s="59"/>
      <c r="D316" s="59"/>
      <c r="E316" s="59"/>
      <c r="F316" s="59"/>
      <c r="G316" s="59"/>
    </row>
    <row r="317" spans="1:7" ht="18.75">
      <c r="A317" s="59"/>
      <c r="B317" s="59"/>
      <c r="C317" s="59"/>
      <c r="D317" s="59"/>
      <c r="E317" s="59"/>
      <c r="F317" s="59"/>
      <c r="G317" s="59"/>
    </row>
    <row r="318" spans="1:7" ht="18.75">
      <c r="A318" s="59"/>
      <c r="B318" s="59"/>
      <c r="C318" s="59"/>
      <c r="D318" s="59"/>
      <c r="E318" s="59"/>
      <c r="F318" s="59"/>
      <c r="G318" s="59"/>
    </row>
    <row r="319" spans="1:7" ht="18.75">
      <c r="A319" s="59"/>
      <c r="B319" s="59"/>
      <c r="C319" s="59"/>
      <c r="D319" s="59"/>
      <c r="E319" s="59"/>
      <c r="F319" s="59"/>
      <c r="G319" s="59"/>
    </row>
    <row r="320" spans="1:7" ht="18.75">
      <c r="A320" s="59"/>
      <c r="B320" s="59"/>
      <c r="C320" s="59"/>
      <c r="D320" s="59"/>
      <c r="E320" s="59"/>
      <c r="F320" s="59"/>
      <c r="G320" s="59"/>
    </row>
    <row r="321" spans="1:7" ht="18.75">
      <c r="A321" s="59"/>
      <c r="B321" s="59"/>
      <c r="C321" s="59"/>
      <c r="D321" s="59"/>
      <c r="E321" s="59"/>
      <c r="F321" s="59"/>
      <c r="G321" s="59"/>
    </row>
    <row r="322" spans="1:7" ht="18.75">
      <c r="A322" s="59"/>
      <c r="B322" s="59"/>
      <c r="C322" s="59"/>
      <c r="D322" s="59"/>
      <c r="E322" s="59"/>
      <c r="F322" s="59"/>
      <c r="G322" s="59"/>
    </row>
    <row r="323" spans="1:7" ht="18.75">
      <c r="A323" s="59"/>
      <c r="B323" s="59"/>
      <c r="C323" s="59"/>
      <c r="D323" s="59"/>
      <c r="E323" s="59"/>
      <c r="F323" s="59"/>
      <c r="G323" s="59"/>
    </row>
    <row r="324" spans="1:7" ht="18.75">
      <c r="A324" s="59"/>
      <c r="B324" s="59"/>
      <c r="C324" s="59"/>
      <c r="D324" s="59"/>
      <c r="E324" s="59"/>
      <c r="F324" s="59"/>
      <c r="G324" s="59"/>
    </row>
    <row r="325" spans="1:7" ht="18.75">
      <c r="A325" s="59"/>
      <c r="B325" s="59"/>
      <c r="C325" s="59"/>
      <c r="D325" s="59"/>
      <c r="E325" s="59"/>
      <c r="F325" s="59"/>
      <c r="G325" s="59"/>
    </row>
    <row r="326" spans="1:7" ht="18.75">
      <c r="A326" s="59"/>
      <c r="B326" s="59"/>
      <c r="C326" s="59"/>
      <c r="D326" s="59"/>
      <c r="E326" s="59"/>
      <c r="F326" s="59"/>
      <c r="G326" s="59"/>
    </row>
    <row r="327" spans="1:7" ht="18.75">
      <c r="A327" s="59"/>
      <c r="B327" s="59"/>
      <c r="C327" s="59"/>
      <c r="D327" s="59"/>
      <c r="E327" s="59"/>
      <c r="F327" s="59"/>
      <c r="G327" s="59"/>
    </row>
    <row r="328" spans="1:7" ht="18.75">
      <c r="A328" s="59"/>
      <c r="B328" s="59"/>
      <c r="C328" s="59"/>
      <c r="D328" s="59"/>
      <c r="E328" s="59"/>
      <c r="F328" s="59"/>
      <c r="G328" s="59"/>
    </row>
    <row r="329" spans="1:7" ht="18.75">
      <c r="A329" s="59"/>
      <c r="B329" s="59"/>
      <c r="C329" s="59"/>
      <c r="D329" s="59"/>
      <c r="E329" s="59"/>
      <c r="F329" s="59"/>
      <c r="G329" s="59"/>
    </row>
    <row r="330" spans="1:7" ht="18.75">
      <c r="A330" s="59"/>
      <c r="B330" s="59"/>
      <c r="C330" s="59"/>
      <c r="D330" s="59"/>
      <c r="E330" s="59"/>
      <c r="F330" s="59"/>
      <c r="G330" s="59"/>
    </row>
    <row r="331" spans="1:7" ht="18.75">
      <c r="A331" s="59"/>
      <c r="B331" s="59"/>
      <c r="C331" s="59"/>
      <c r="D331" s="59"/>
      <c r="E331" s="59"/>
      <c r="F331" s="59"/>
      <c r="G331" s="59"/>
    </row>
    <row r="332" spans="1:7" ht="18.75">
      <c r="A332" s="59"/>
      <c r="B332" s="59"/>
      <c r="C332" s="59"/>
      <c r="D332" s="59"/>
      <c r="E332" s="59"/>
      <c r="F332" s="59"/>
      <c r="G332" s="59"/>
    </row>
    <row r="333" spans="1:7" ht="18.75">
      <c r="A333" s="59"/>
      <c r="B333" s="59"/>
      <c r="C333" s="59"/>
      <c r="D333" s="59"/>
      <c r="E333" s="59"/>
      <c r="F333" s="59"/>
      <c r="G333" s="59"/>
    </row>
    <row r="334" spans="1:7" ht="18.75">
      <c r="A334" s="59"/>
      <c r="B334" s="59"/>
      <c r="C334" s="59"/>
      <c r="D334" s="59"/>
      <c r="E334" s="59"/>
      <c r="F334" s="59"/>
      <c r="G334" s="59"/>
    </row>
    <row r="335" spans="1:7" ht="18.75">
      <c r="A335" s="59"/>
      <c r="B335" s="59"/>
      <c r="C335" s="59"/>
      <c r="D335" s="59"/>
      <c r="E335" s="59"/>
      <c r="F335" s="59"/>
      <c r="G335" s="59"/>
    </row>
    <row r="336" spans="1:7" ht="18.75">
      <c r="A336" s="59"/>
      <c r="B336" s="59"/>
      <c r="C336" s="59"/>
      <c r="D336" s="59"/>
      <c r="E336" s="59"/>
      <c r="F336" s="59"/>
      <c r="G336" s="59"/>
    </row>
    <row r="337" spans="1:7" ht="18.75">
      <c r="A337" s="59"/>
      <c r="B337" s="59"/>
      <c r="C337" s="59"/>
      <c r="D337" s="59"/>
      <c r="E337" s="59"/>
      <c r="F337" s="59"/>
      <c r="G337" s="59"/>
    </row>
    <row r="338" spans="1:7" ht="18.75">
      <c r="A338" s="59"/>
      <c r="B338" s="59"/>
      <c r="C338" s="59"/>
      <c r="D338" s="59"/>
      <c r="E338" s="59"/>
      <c r="F338" s="59"/>
      <c r="G338" s="59"/>
    </row>
    <row r="339" spans="1:7" ht="18.75">
      <c r="A339" s="59"/>
      <c r="B339" s="59"/>
      <c r="C339" s="59"/>
      <c r="D339" s="59"/>
      <c r="E339" s="59"/>
      <c r="F339" s="59"/>
      <c r="G339" s="59"/>
    </row>
    <row r="340" spans="1:7" ht="18.75">
      <c r="A340" s="59"/>
      <c r="B340" s="59"/>
      <c r="C340" s="59"/>
      <c r="D340" s="59"/>
      <c r="E340" s="59"/>
      <c r="F340" s="59"/>
      <c r="G340" s="59"/>
    </row>
    <row r="341" spans="1:7" ht="18.75">
      <c r="A341" s="59"/>
      <c r="B341" s="59"/>
      <c r="C341" s="59"/>
      <c r="D341" s="59"/>
      <c r="E341" s="59"/>
      <c r="F341" s="59"/>
      <c r="G341" s="59"/>
    </row>
    <row r="342" spans="1:7" ht="18.75">
      <c r="A342" s="59"/>
      <c r="B342" s="59"/>
      <c r="C342" s="59"/>
      <c r="D342" s="59"/>
      <c r="E342" s="59"/>
      <c r="F342" s="59"/>
      <c r="G342" s="59"/>
    </row>
    <row r="343" spans="1:7" ht="18.75">
      <c r="A343" s="59"/>
      <c r="B343" s="59"/>
      <c r="C343" s="59"/>
      <c r="D343" s="59"/>
      <c r="E343" s="59"/>
      <c r="F343" s="59"/>
      <c r="G343" s="59"/>
    </row>
    <row r="344" spans="1:7" ht="18.75">
      <c r="A344" s="59"/>
      <c r="B344" s="59"/>
      <c r="C344" s="59"/>
      <c r="D344" s="59"/>
      <c r="E344" s="59"/>
      <c r="F344" s="59"/>
      <c r="G344" s="59"/>
    </row>
    <row r="345" spans="1:7" ht="18.75">
      <c r="A345" s="59"/>
      <c r="B345" s="59"/>
      <c r="C345" s="59"/>
      <c r="D345" s="59"/>
      <c r="E345" s="59"/>
      <c r="F345" s="59"/>
      <c r="G345" s="59"/>
    </row>
    <row r="346" spans="1:7" ht="18.75">
      <c r="A346" s="59"/>
      <c r="B346" s="59"/>
      <c r="C346" s="59"/>
      <c r="D346" s="59"/>
      <c r="E346" s="59"/>
      <c r="F346" s="59"/>
      <c r="G346" s="59"/>
    </row>
    <row r="347" spans="1:7" ht="18.75">
      <c r="A347" s="59"/>
      <c r="B347" s="59"/>
      <c r="C347" s="59"/>
      <c r="D347" s="59"/>
      <c r="E347" s="59"/>
      <c r="F347" s="59"/>
      <c r="G347" s="59"/>
    </row>
    <row r="348" spans="1:7" ht="18.75">
      <c r="A348" s="59"/>
      <c r="B348" s="59"/>
      <c r="C348" s="59"/>
      <c r="D348" s="59"/>
      <c r="E348" s="59"/>
      <c r="F348" s="59"/>
      <c r="G348" s="59"/>
    </row>
    <row r="349" spans="1:7" ht="18.75">
      <c r="A349" s="59"/>
      <c r="B349" s="59"/>
      <c r="C349" s="59"/>
      <c r="D349" s="59"/>
      <c r="E349" s="59"/>
      <c r="F349" s="59"/>
      <c r="G349" s="59"/>
    </row>
    <row r="350" spans="1:7" ht="18.75">
      <c r="A350" s="59"/>
      <c r="B350" s="59"/>
      <c r="C350" s="59"/>
      <c r="D350" s="59"/>
      <c r="E350" s="59"/>
      <c r="F350" s="59"/>
      <c r="G350" s="59"/>
    </row>
    <row r="351" spans="1:7" ht="18.75">
      <c r="A351" s="59"/>
      <c r="B351" s="59"/>
      <c r="C351" s="59"/>
      <c r="D351" s="59"/>
      <c r="E351" s="59"/>
      <c r="F351" s="59"/>
      <c r="G351" s="59"/>
    </row>
    <row r="352" spans="1:7" ht="18.75">
      <c r="A352" s="59"/>
      <c r="B352" s="59"/>
      <c r="C352" s="59"/>
      <c r="D352" s="59"/>
      <c r="E352" s="59"/>
      <c r="F352" s="59"/>
      <c r="G352" s="59"/>
    </row>
    <row r="353" spans="1:7" ht="18.75">
      <c r="A353" s="59"/>
      <c r="B353" s="59"/>
      <c r="C353" s="59"/>
      <c r="D353" s="59"/>
      <c r="E353" s="59"/>
      <c r="F353" s="59"/>
      <c r="G353" s="59"/>
    </row>
    <row r="354" spans="1:7" ht="18.75">
      <c r="A354" s="59"/>
      <c r="B354" s="59"/>
      <c r="C354" s="59"/>
      <c r="D354" s="59"/>
      <c r="E354" s="59"/>
      <c r="F354" s="59"/>
      <c r="G354" s="59"/>
    </row>
    <row r="355" spans="1:7" ht="18.75">
      <c r="A355" s="59"/>
      <c r="B355" s="59"/>
      <c r="C355" s="59"/>
      <c r="D355" s="59"/>
      <c r="E355" s="59"/>
      <c r="F355" s="59"/>
      <c r="G355" s="59"/>
    </row>
    <row r="356" spans="1:7" ht="18.75">
      <c r="A356" s="59"/>
      <c r="B356" s="59"/>
      <c r="C356" s="59"/>
      <c r="D356" s="59"/>
      <c r="E356" s="59"/>
      <c r="F356" s="59"/>
      <c r="G356" s="59"/>
    </row>
    <row r="357" spans="1:7" ht="18.75">
      <c r="A357" s="59"/>
      <c r="B357" s="59"/>
      <c r="C357" s="59"/>
      <c r="D357" s="59"/>
      <c r="E357" s="59"/>
      <c r="F357" s="59"/>
      <c r="G357" s="59"/>
    </row>
    <row r="358" spans="1:7" ht="18.75">
      <c r="A358" s="59"/>
      <c r="B358" s="59"/>
      <c r="C358" s="59"/>
      <c r="D358" s="59"/>
      <c r="E358" s="59"/>
      <c r="F358" s="59"/>
      <c r="G358" s="59"/>
    </row>
    <row r="359" spans="1:7" ht="18.75">
      <c r="A359" s="59"/>
      <c r="B359" s="59"/>
      <c r="C359" s="59"/>
      <c r="D359" s="59"/>
      <c r="E359" s="59"/>
      <c r="F359" s="59"/>
      <c r="G359" s="59"/>
    </row>
    <row r="360" spans="1:7" ht="18.75">
      <c r="A360" s="59"/>
      <c r="B360" s="59"/>
      <c r="C360" s="59"/>
      <c r="D360" s="59"/>
      <c r="E360" s="59"/>
      <c r="F360" s="59"/>
      <c r="G360" s="59"/>
    </row>
    <row r="361" spans="1:7" ht="18.75">
      <c r="A361" s="59"/>
      <c r="B361" s="59"/>
      <c r="C361" s="59"/>
      <c r="D361" s="59"/>
      <c r="E361" s="59"/>
      <c r="F361" s="59"/>
      <c r="G361" s="59"/>
    </row>
    <row r="362" spans="1:7" ht="18.75">
      <c r="A362" s="59"/>
      <c r="B362" s="59"/>
      <c r="C362" s="59"/>
      <c r="D362" s="59"/>
      <c r="E362" s="59"/>
      <c r="F362" s="59"/>
      <c r="G362" s="59"/>
    </row>
    <row r="363" spans="1:7" ht="18.75">
      <c r="A363" s="59"/>
      <c r="B363" s="59"/>
      <c r="C363" s="59"/>
      <c r="D363" s="59"/>
      <c r="E363" s="59"/>
      <c r="F363" s="59"/>
      <c r="G363" s="59"/>
    </row>
    <row r="364" spans="1:7" ht="18.75">
      <c r="A364" s="59"/>
      <c r="B364" s="59"/>
      <c r="C364" s="59"/>
      <c r="D364" s="59"/>
      <c r="E364" s="59"/>
      <c r="F364" s="59"/>
      <c r="G364" s="59"/>
    </row>
    <row r="365" spans="1:7" ht="18.75">
      <c r="A365" s="59"/>
      <c r="B365" s="59"/>
      <c r="C365" s="59"/>
      <c r="D365" s="59"/>
      <c r="E365" s="59"/>
      <c r="F365" s="59"/>
      <c r="G365" s="59"/>
    </row>
    <row r="366" spans="1:7" ht="18.75">
      <c r="A366" s="59"/>
      <c r="B366" s="59"/>
      <c r="C366" s="59"/>
      <c r="D366" s="59"/>
      <c r="E366" s="59"/>
      <c r="F366" s="59"/>
      <c r="G366" s="59"/>
    </row>
    <row r="367" spans="1:7" ht="18.75">
      <c r="A367" s="59"/>
      <c r="B367" s="59"/>
      <c r="C367" s="59"/>
      <c r="D367" s="59"/>
      <c r="E367" s="59"/>
      <c r="F367" s="59"/>
      <c r="G367" s="59"/>
    </row>
    <row r="368" spans="1:7" ht="18.75">
      <c r="A368" s="59"/>
      <c r="B368" s="59"/>
      <c r="C368" s="59"/>
      <c r="D368" s="59"/>
      <c r="E368" s="59"/>
      <c r="F368" s="59"/>
      <c r="G368" s="59"/>
    </row>
    <row r="369" spans="1:7" ht="18.75">
      <c r="A369" s="59"/>
      <c r="B369" s="59"/>
      <c r="C369" s="59"/>
      <c r="D369" s="59"/>
      <c r="E369" s="59"/>
      <c r="F369" s="59"/>
      <c r="G369" s="59"/>
    </row>
    <row r="370" spans="1:7" ht="18.75">
      <c r="A370" s="59"/>
      <c r="B370" s="59"/>
      <c r="C370" s="59"/>
      <c r="D370" s="59"/>
      <c r="E370" s="59"/>
      <c r="F370" s="59"/>
      <c r="G370" s="59"/>
    </row>
    <row r="371" spans="1:7" ht="18.75">
      <c r="A371" s="59"/>
      <c r="B371" s="59"/>
      <c r="C371" s="59"/>
      <c r="D371" s="59"/>
      <c r="E371" s="59"/>
      <c r="F371" s="59"/>
      <c r="G371" s="59"/>
    </row>
    <row r="372" spans="1:7" ht="18.75">
      <c r="A372" s="59"/>
      <c r="B372" s="59"/>
      <c r="C372" s="59"/>
      <c r="D372" s="59"/>
      <c r="E372" s="59"/>
      <c r="F372" s="59"/>
      <c r="G372" s="59"/>
    </row>
    <row r="373" spans="1:7" ht="18.75">
      <c r="A373" s="59"/>
      <c r="B373" s="59"/>
      <c r="C373" s="59"/>
      <c r="D373" s="59"/>
      <c r="E373" s="59"/>
      <c r="F373" s="59"/>
      <c r="G373" s="59"/>
    </row>
    <row r="374" spans="1:7" ht="18.75">
      <c r="A374" s="59"/>
      <c r="B374" s="59"/>
      <c r="C374" s="59"/>
      <c r="D374" s="59"/>
      <c r="E374" s="59"/>
      <c r="F374" s="59"/>
      <c r="G374" s="59"/>
    </row>
    <row r="375" spans="1:7" ht="18.75">
      <c r="A375" s="59"/>
      <c r="B375" s="59"/>
      <c r="C375" s="59"/>
      <c r="D375" s="59"/>
      <c r="E375" s="59"/>
      <c r="F375" s="59"/>
      <c r="G375" s="59"/>
    </row>
    <row r="376" spans="1:7" ht="18.75">
      <c r="A376" s="59"/>
      <c r="B376" s="59"/>
      <c r="C376" s="59"/>
      <c r="D376" s="59"/>
      <c r="E376" s="59"/>
      <c r="F376" s="59"/>
      <c r="G376" s="59"/>
    </row>
    <row r="377" spans="1:7" ht="18.75">
      <c r="A377" s="59"/>
      <c r="B377" s="59"/>
      <c r="C377" s="59"/>
      <c r="D377" s="59"/>
      <c r="E377" s="59"/>
      <c r="F377" s="59"/>
      <c r="G377" s="59"/>
    </row>
    <row r="378" spans="1:7" ht="18.75">
      <c r="A378" s="59"/>
      <c r="B378" s="59"/>
      <c r="C378" s="59"/>
      <c r="D378" s="59"/>
      <c r="E378" s="59"/>
      <c r="F378" s="59"/>
      <c r="G378" s="59"/>
    </row>
    <row r="379" spans="1:7" ht="18.75">
      <c r="A379" s="59"/>
      <c r="B379" s="59"/>
      <c r="C379" s="59"/>
      <c r="D379" s="59"/>
      <c r="E379" s="59"/>
      <c r="F379" s="59"/>
      <c r="G379" s="59"/>
    </row>
    <row r="380" spans="1:7" ht="18.75">
      <c r="A380" s="59"/>
      <c r="B380" s="59"/>
      <c r="C380" s="59"/>
      <c r="D380" s="59"/>
      <c r="E380" s="59"/>
      <c r="F380" s="59"/>
      <c r="G380" s="59"/>
    </row>
    <row r="381" spans="1:7" ht="18.75">
      <c r="A381" s="59"/>
      <c r="B381" s="59"/>
      <c r="C381" s="59"/>
      <c r="D381" s="59"/>
      <c r="E381" s="59"/>
      <c r="F381" s="59"/>
      <c r="G381" s="59"/>
    </row>
  </sheetData>
  <sheetProtection/>
  <mergeCells count="18">
    <mergeCell ref="C66:D66"/>
    <mergeCell ref="A1:G2"/>
    <mergeCell ref="A3:G3"/>
    <mergeCell ref="A4:H5"/>
    <mergeCell ref="F9:F11"/>
    <mergeCell ref="G9:G11"/>
    <mergeCell ref="A65:B65"/>
    <mergeCell ref="A66:B66"/>
    <mergeCell ref="A67:G67"/>
    <mergeCell ref="A68:B68"/>
    <mergeCell ref="A69:B69"/>
    <mergeCell ref="J9:Q12"/>
    <mergeCell ref="R9:X12"/>
    <mergeCell ref="A9:A11"/>
    <mergeCell ref="B9:B11"/>
    <mergeCell ref="C9:D10"/>
    <mergeCell ref="E9:E11"/>
    <mergeCell ref="C65:D6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2" r:id="rId1"/>
  <rowBreaks count="1" manualBreakCount="1">
    <brk id="43" max="6" man="1"/>
  </rowBreaks>
  <colBreaks count="1" manualBreakCount="1">
    <brk id="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F65"/>
  <sheetViews>
    <sheetView view="pageBreakPreview" zoomScale="75" zoomScaleSheetLayoutView="75" zoomScalePageLayoutView="0" workbookViewId="0" topLeftCell="A40">
      <selection activeCell="F57" sqref="F57"/>
    </sheetView>
  </sheetViews>
  <sheetFormatPr defaultColWidth="9.00390625" defaultRowHeight="12.75"/>
  <cols>
    <col min="1" max="1" width="9.375" style="0" bestFit="1" customWidth="1"/>
    <col min="2" max="2" width="72.25390625" style="0" customWidth="1"/>
    <col min="3" max="3" width="10.375" style="0" customWidth="1"/>
    <col min="4" max="4" width="10.00390625" style="0" bestFit="1" customWidth="1"/>
    <col min="5" max="5" width="15.125" style="0" customWidth="1"/>
    <col min="6" max="6" width="19.25390625" style="0" customWidth="1"/>
    <col min="7" max="7" width="13.375" style="0" bestFit="1" customWidth="1"/>
    <col min="8" max="16" width="9.125" style="0" customWidth="1"/>
  </cols>
  <sheetData>
    <row r="1" spans="1:7" ht="12.75">
      <c r="A1" s="179" t="s">
        <v>25</v>
      </c>
      <c r="B1" s="179"/>
      <c r="C1" s="179"/>
      <c r="D1" s="179"/>
      <c r="E1" s="179"/>
      <c r="F1" s="179"/>
      <c r="G1" s="179"/>
    </row>
    <row r="2" spans="1:7" ht="12.75">
      <c r="A2" s="179"/>
      <c r="B2" s="179"/>
      <c r="C2" s="179"/>
      <c r="D2" s="179"/>
      <c r="E2" s="179"/>
      <c r="F2" s="179"/>
      <c r="G2" s="179"/>
    </row>
    <row r="3" spans="1:7" ht="60.75" customHeight="1">
      <c r="A3" s="182" t="s">
        <v>109</v>
      </c>
      <c r="B3" s="182"/>
      <c r="C3" s="182"/>
      <c r="D3" s="182"/>
      <c r="E3" s="182"/>
      <c r="F3" s="182"/>
      <c r="G3" s="182"/>
    </row>
    <row r="4" spans="1:7" ht="12.75">
      <c r="A4" s="179" t="s">
        <v>110</v>
      </c>
      <c r="B4" s="179"/>
      <c r="C4" s="179"/>
      <c r="D4" s="179"/>
      <c r="E4" s="179"/>
      <c r="F4" s="179"/>
      <c r="G4" s="179"/>
    </row>
    <row r="5" spans="1:7" ht="12.75">
      <c r="A5" s="179"/>
      <c r="B5" s="179"/>
      <c r="C5" s="179"/>
      <c r="D5" s="179"/>
      <c r="E5" s="179"/>
      <c r="F5" s="179"/>
      <c r="G5" s="179"/>
    </row>
    <row r="6" spans="1:7" ht="18.75">
      <c r="A6" s="5"/>
      <c r="B6" s="5"/>
      <c r="C6" s="5"/>
      <c r="D6" s="5"/>
      <c r="E6" s="5"/>
      <c r="F6" s="5"/>
      <c r="G6" s="5"/>
    </row>
    <row r="7" spans="1:7" ht="22.5">
      <c r="A7" s="8"/>
      <c r="B7" s="9" t="s">
        <v>5</v>
      </c>
      <c r="C7" s="5">
        <v>4504.45</v>
      </c>
      <c r="D7" s="5" t="s">
        <v>31</v>
      </c>
      <c r="E7" s="10"/>
      <c r="F7" s="10"/>
      <c r="G7" s="10"/>
    </row>
    <row r="8" spans="1:7" ht="18.75">
      <c r="A8" s="8"/>
      <c r="B8" s="5"/>
      <c r="C8" s="5"/>
      <c r="D8" s="5"/>
      <c r="E8" s="5"/>
      <c r="F8" s="5"/>
      <c r="G8" s="5"/>
    </row>
    <row r="9" spans="1:7" ht="18.75" customHeight="1">
      <c r="A9" s="201" t="s">
        <v>8</v>
      </c>
      <c r="B9" s="201" t="s">
        <v>6</v>
      </c>
      <c r="C9" s="185" t="s">
        <v>32</v>
      </c>
      <c r="D9" s="204"/>
      <c r="E9" s="189" t="s">
        <v>99</v>
      </c>
      <c r="F9" s="189" t="s">
        <v>74</v>
      </c>
      <c r="G9" s="189" t="s">
        <v>218</v>
      </c>
    </row>
    <row r="10" spans="1:7" ht="96" customHeight="1">
      <c r="A10" s="202"/>
      <c r="B10" s="202"/>
      <c r="C10" s="187"/>
      <c r="D10" s="205"/>
      <c r="E10" s="190"/>
      <c r="F10" s="190"/>
      <c r="G10" s="190"/>
    </row>
    <row r="11" spans="1:7" ht="137.25" customHeight="1">
      <c r="A11" s="203"/>
      <c r="B11" s="203"/>
      <c r="C11" s="87" t="s">
        <v>107</v>
      </c>
      <c r="D11" s="87" t="s">
        <v>106</v>
      </c>
      <c r="E11" s="191"/>
      <c r="F11" s="191"/>
      <c r="G11" s="191"/>
    </row>
    <row r="12" spans="1:7" ht="37.5">
      <c r="A12" s="13" t="s">
        <v>12</v>
      </c>
      <c r="B12" s="14" t="s">
        <v>20</v>
      </c>
      <c r="C12" s="13"/>
      <c r="D12" s="13"/>
      <c r="E12" s="13"/>
      <c r="F12" s="108"/>
      <c r="G12" s="13"/>
    </row>
    <row r="13" spans="1:10" ht="18.75">
      <c r="A13" s="15" t="s">
        <v>13</v>
      </c>
      <c r="B13" s="14" t="s">
        <v>10</v>
      </c>
      <c r="C13" s="34">
        <v>1.09</v>
      </c>
      <c r="D13" s="34">
        <v>1.14</v>
      </c>
      <c r="E13" s="32">
        <f aca="true" t="shared" si="0" ref="E13:E18">H13*I13*6</f>
        <v>60269.541</v>
      </c>
      <c r="F13" s="101">
        <f>E13</f>
        <v>60269.541</v>
      </c>
      <c r="G13" s="16">
        <f aca="true" t="shared" si="1" ref="G13:G18">J13*12*H13</f>
        <v>61620.876</v>
      </c>
      <c r="H13">
        <f>C7</f>
        <v>4504.45</v>
      </c>
      <c r="I13" s="22">
        <f aca="true" t="shared" si="2" ref="I13:I18">C13+D13</f>
        <v>2.23</v>
      </c>
      <c r="J13" s="34">
        <v>1.14</v>
      </c>
    </row>
    <row r="14" spans="1:10" ht="18.75" customHeight="1">
      <c r="A14" s="15" t="s">
        <v>14</v>
      </c>
      <c r="B14" s="14" t="s">
        <v>15</v>
      </c>
      <c r="C14" s="34">
        <v>1.39</v>
      </c>
      <c r="D14" s="34">
        <v>1.46</v>
      </c>
      <c r="E14" s="32">
        <f t="shared" si="0"/>
        <v>77026.09499999999</v>
      </c>
      <c r="F14" s="101">
        <f>E14</f>
        <v>77026.09499999999</v>
      </c>
      <c r="G14" s="16">
        <f t="shared" si="1"/>
        <v>78917.96399999999</v>
      </c>
      <c r="H14">
        <f>H13</f>
        <v>4504.45</v>
      </c>
      <c r="I14" s="22">
        <f t="shared" si="2"/>
        <v>2.8499999999999996</v>
      </c>
      <c r="J14" s="34">
        <v>1.46</v>
      </c>
    </row>
    <row r="15" spans="1:10" ht="18.75">
      <c r="A15" s="15" t="s">
        <v>16</v>
      </c>
      <c r="B15" s="14" t="s">
        <v>7</v>
      </c>
      <c r="C15" s="34"/>
      <c r="D15" s="34"/>
      <c r="E15" s="32"/>
      <c r="F15" s="101"/>
      <c r="G15" s="16"/>
      <c r="H15">
        <f>H14</f>
        <v>4504.45</v>
      </c>
      <c r="I15" s="22">
        <f t="shared" si="2"/>
        <v>0</v>
      </c>
      <c r="J15" s="34">
        <v>0</v>
      </c>
    </row>
    <row r="16" spans="1:10" ht="18.75">
      <c r="A16" s="15" t="s">
        <v>21</v>
      </c>
      <c r="B16" s="14" t="s">
        <v>11</v>
      </c>
      <c r="C16" s="34">
        <v>0.82</v>
      </c>
      <c r="D16" s="34">
        <v>0.58</v>
      </c>
      <c r="E16" s="32">
        <f t="shared" si="0"/>
        <v>37837.38</v>
      </c>
      <c r="F16" s="101">
        <f>E16</f>
        <v>37837.38</v>
      </c>
      <c r="G16" s="16">
        <f t="shared" si="1"/>
        <v>31350.971999999994</v>
      </c>
      <c r="H16">
        <f>H15</f>
        <v>4504.45</v>
      </c>
      <c r="I16" s="22">
        <f t="shared" si="2"/>
        <v>1.4</v>
      </c>
      <c r="J16" s="34">
        <v>0.58</v>
      </c>
    </row>
    <row r="17" spans="1:10" ht="18.75">
      <c r="A17" s="15" t="s">
        <v>22</v>
      </c>
      <c r="B17" s="14" t="s">
        <v>19</v>
      </c>
      <c r="C17" s="34">
        <v>1.24</v>
      </c>
      <c r="D17" s="34">
        <v>1.24</v>
      </c>
      <c r="E17" s="32">
        <f t="shared" si="0"/>
        <v>67026.216</v>
      </c>
      <c r="F17" s="101">
        <f>E17</f>
        <v>67026.216</v>
      </c>
      <c r="G17" s="16">
        <f t="shared" si="1"/>
        <v>67026.21599999999</v>
      </c>
      <c r="H17">
        <f>H16</f>
        <v>4504.45</v>
      </c>
      <c r="I17" s="22">
        <f t="shared" si="2"/>
        <v>2.48</v>
      </c>
      <c r="J17" s="34">
        <v>1.24</v>
      </c>
    </row>
    <row r="18" spans="1:10" ht="55.5" customHeight="1">
      <c r="A18" s="32" t="s">
        <v>23</v>
      </c>
      <c r="B18" s="53" t="s">
        <v>24</v>
      </c>
      <c r="C18" s="34">
        <v>4.47</v>
      </c>
      <c r="D18" s="34">
        <v>5.18</v>
      </c>
      <c r="E18" s="32">
        <f t="shared" si="0"/>
        <v>260807.65499999994</v>
      </c>
      <c r="F18" s="115">
        <f>F20+F21+F23+F24+F26+F27+F29+F30+F31+F33+F34+F36+F37+F39+F40+F42+F43+F45+F47+F48+F50+F51+F53+F54</f>
        <v>99910.85</v>
      </c>
      <c r="G18" s="16">
        <f t="shared" si="1"/>
        <v>279996.61199999996</v>
      </c>
      <c r="H18">
        <f>H17</f>
        <v>4504.45</v>
      </c>
      <c r="I18" s="22">
        <f t="shared" si="2"/>
        <v>9.649999999999999</v>
      </c>
      <c r="J18" s="34">
        <v>5.18</v>
      </c>
    </row>
    <row r="19" spans="1:7" ht="18.75">
      <c r="A19" s="32"/>
      <c r="B19" s="42" t="s">
        <v>75</v>
      </c>
      <c r="C19" s="32"/>
      <c r="D19" s="32"/>
      <c r="E19" s="32"/>
      <c r="F19" s="115"/>
      <c r="G19" s="32"/>
    </row>
    <row r="20" spans="1:7" ht="37.5">
      <c r="A20" s="32"/>
      <c r="B20" s="53" t="s">
        <v>876</v>
      </c>
      <c r="C20" s="32"/>
      <c r="D20" s="32"/>
      <c r="E20" s="32"/>
      <c r="F20" s="120">
        <v>3593.52</v>
      </c>
      <c r="G20" s="32"/>
    </row>
    <row r="21" spans="1:7" ht="18.75" customHeight="1">
      <c r="A21" s="32"/>
      <c r="B21" s="53" t="s">
        <v>877</v>
      </c>
      <c r="C21" s="32"/>
      <c r="D21" s="32"/>
      <c r="E21" s="32"/>
      <c r="F21" s="115">
        <v>277.74</v>
      </c>
      <c r="G21" s="32"/>
    </row>
    <row r="22" spans="1:7" ht="18.75">
      <c r="A22" s="32"/>
      <c r="B22" s="42" t="s">
        <v>88</v>
      </c>
      <c r="C22" s="32"/>
      <c r="D22" s="32"/>
      <c r="E22" s="32"/>
      <c r="F22" s="115"/>
      <c r="G22" s="32"/>
    </row>
    <row r="23" spans="1:7" ht="57.75" customHeight="1">
      <c r="A23" s="32"/>
      <c r="B23" s="53" t="s">
        <v>878</v>
      </c>
      <c r="C23" s="32"/>
      <c r="D23" s="32"/>
      <c r="E23" s="32"/>
      <c r="F23" s="115">
        <v>13724.75</v>
      </c>
      <c r="G23" s="32"/>
    </row>
    <row r="24" spans="1:7" ht="23.25" customHeight="1">
      <c r="A24" s="32"/>
      <c r="B24" s="53" t="s">
        <v>879</v>
      </c>
      <c r="C24" s="32"/>
      <c r="D24" s="32"/>
      <c r="E24" s="32"/>
      <c r="F24" s="115">
        <v>615.84</v>
      </c>
      <c r="G24" s="32"/>
    </row>
    <row r="25" spans="1:7" ht="18.75">
      <c r="A25" s="32"/>
      <c r="B25" s="42" t="s">
        <v>89</v>
      </c>
      <c r="C25" s="32"/>
      <c r="D25" s="32"/>
      <c r="E25" s="32"/>
      <c r="F25" s="115"/>
      <c r="G25" s="32"/>
    </row>
    <row r="26" spans="1:7" ht="37.5" customHeight="1">
      <c r="A26" s="32"/>
      <c r="B26" s="53" t="s">
        <v>880</v>
      </c>
      <c r="C26" s="32"/>
      <c r="D26" s="32"/>
      <c r="E26" s="32"/>
      <c r="F26" s="115">
        <v>2530.86</v>
      </c>
      <c r="G26" s="32"/>
    </row>
    <row r="27" spans="1:7" ht="20.25" customHeight="1">
      <c r="A27" s="32"/>
      <c r="B27" s="53" t="s">
        <v>162</v>
      </c>
      <c r="C27" s="32"/>
      <c r="D27" s="32"/>
      <c r="E27" s="32"/>
      <c r="F27" s="115">
        <v>2989.92</v>
      </c>
      <c r="G27" s="32"/>
    </row>
    <row r="28" spans="1:7" ht="18.75">
      <c r="A28" s="32"/>
      <c r="B28" s="42" t="s">
        <v>90</v>
      </c>
      <c r="C28" s="32"/>
      <c r="D28" s="32"/>
      <c r="E28" s="32"/>
      <c r="F28" s="115"/>
      <c r="G28" s="32"/>
    </row>
    <row r="29" spans="1:7" ht="37.5">
      <c r="A29" s="32"/>
      <c r="B29" s="53" t="s">
        <v>881</v>
      </c>
      <c r="C29" s="32"/>
      <c r="D29" s="32"/>
      <c r="E29" s="32"/>
      <c r="F29" s="115">
        <v>10890.53</v>
      </c>
      <c r="G29" s="32"/>
    </row>
    <row r="30" spans="1:7" ht="18.75">
      <c r="A30" s="32"/>
      <c r="B30" s="53" t="s">
        <v>30</v>
      </c>
      <c r="C30" s="32"/>
      <c r="D30" s="32"/>
      <c r="E30" s="32"/>
      <c r="F30" s="115">
        <v>1127.22</v>
      </c>
      <c r="G30" s="32"/>
    </row>
    <row r="31" spans="1:7" ht="37.5">
      <c r="A31" s="32"/>
      <c r="B31" s="53" t="s">
        <v>882</v>
      </c>
      <c r="C31" s="32"/>
      <c r="D31" s="32"/>
      <c r="E31" s="32"/>
      <c r="F31" s="115">
        <v>1762.35</v>
      </c>
      <c r="G31" s="32"/>
    </row>
    <row r="32" spans="1:7" ht="18.75">
      <c r="A32" s="32"/>
      <c r="B32" s="42" t="s">
        <v>539</v>
      </c>
      <c r="C32" s="32"/>
      <c r="D32" s="32"/>
      <c r="E32" s="32"/>
      <c r="F32" s="115"/>
      <c r="G32" s="32"/>
    </row>
    <row r="33" spans="1:7" ht="37.5">
      <c r="A33" s="32"/>
      <c r="B33" s="53" t="s">
        <v>883</v>
      </c>
      <c r="C33" s="32"/>
      <c r="D33" s="32"/>
      <c r="E33" s="32"/>
      <c r="F33" s="115">
        <v>7063.26</v>
      </c>
      <c r="G33" s="32"/>
    </row>
    <row r="34" spans="1:7" ht="37.5">
      <c r="A34" s="32"/>
      <c r="B34" s="53" t="s">
        <v>884</v>
      </c>
      <c r="C34" s="32"/>
      <c r="D34" s="32"/>
      <c r="E34" s="32"/>
      <c r="F34" s="115">
        <v>2355.46</v>
      </c>
      <c r="G34" s="32"/>
    </row>
    <row r="35" spans="1:7" ht="18.75">
      <c r="A35" s="32"/>
      <c r="B35" s="42" t="s">
        <v>124</v>
      </c>
      <c r="C35" s="32"/>
      <c r="D35" s="32"/>
      <c r="E35" s="32"/>
      <c r="F35" s="115"/>
      <c r="G35" s="32"/>
    </row>
    <row r="36" spans="1:7" ht="37.5">
      <c r="A36" s="32"/>
      <c r="B36" s="53" t="s">
        <v>885</v>
      </c>
      <c r="C36" s="32"/>
      <c r="D36" s="32"/>
      <c r="E36" s="32"/>
      <c r="F36" s="115">
        <v>5874.29</v>
      </c>
      <c r="G36" s="32"/>
    </row>
    <row r="37" spans="1:7" ht="18.75">
      <c r="A37" s="32"/>
      <c r="B37" s="53" t="s">
        <v>307</v>
      </c>
      <c r="C37" s="32"/>
      <c r="D37" s="32"/>
      <c r="E37" s="32"/>
      <c r="F37" s="115">
        <v>230.42</v>
      </c>
      <c r="G37" s="32"/>
    </row>
    <row r="38" spans="1:7" ht="18.75">
      <c r="A38" s="32"/>
      <c r="B38" s="42" t="s">
        <v>93</v>
      </c>
      <c r="C38" s="32"/>
      <c r="D38" s="32"/>
      <c r="E38" s="32"/>
      <c r="F38" s="115"/>
      <c r="G38" s="32"/>
    </row>
    <row r="39" spans="1:7" ht="18.75">
      <c r="A39" s="32"/>
      <c r="B39" s="53" t="s">
        <v>886</v>
      </c>
      <c r="C39" s="32"/>
      <c r="D39" s="32"/>
      <c r="E39" s="32"/>
      <c r="F39" s="115">
        <v>6232.5</v>
      </c>
      <c r="G39" s="32"/>
    </row>
    <row r="40" spans="1:7" ht="18.75" customHeight="1">
      <c r="A40" s="32"/>
      <c r="B40" s="53" t="s">
        <v>887</v>
      </c>
      <c r="C40" s="32"/>
      <c r="D40" s="32"/>
      <c r="E40" s="32"/>
      <c r="F40" s="115">
        <v>1926.1</v>
      </c>
      <c r="G40" s="32"/>
    </row>
    <row r="41" spans="1:7" ht="18.75">
      <c r="A41" s="32"/>
      <c r="B41" s="42" t="s">
        <v>94</v>
      </c>
      <c r="C41" s="32"/>
      <c r="D41" s="32"/>
      <c r="E41" s="32"/>
      <c r="F41" s="115"/>
      <c r="G41" s="32"/>
    </row>
    <row r="42" spans="1:7" ht="37.5">
      <c r="A42" s="32"/>
      <c r="B42" s="53" t="s">
        <v>888</v>
      </c>
      <c r="C42" s="32"/>
      <c r="D42" s="32"/>
      <c r="E42" s="32"/>
      <c r="F42" s="115">
        <v>6089.95</v>
      </c>
      <c r="G42" s="32"/>
    </row>
    <row r="43" spans="1:7" ht="18.75">
      <c r="A43" s="32"/>
      <c r="B43" s="53" t="s">
        <v>327</v>
      </c>
      <c r="C43" s="32"/>
      <c r="D43" s="32"/>
      <c r="E43" s="32"/>
      <c r="F43" s="115">
        <v>215.7</v>
      </c>
      <c r="G43" s="32"/>
    </row>
    <row r="44" spans="1:7" ht="18.75">
      <c r="A44" s="32"/>
      <c r="B44" s="42" t="s">
        <v>98</v>
      </c>
      <c r="C44" s="32"/>
      <c r="D44" s="32"/>
      <c r="E44" s="32"/>
      <c r="F44" s="115"/>
      <c r="G44" s="32"/>
    </row>
    <row r="45" spans="1:7" ht="37.5">
      <c r="A45" s="32"/>
      <c r="B45" s="53" t="s">
        <v>889</v>
      </c>
      <c r="C45" s="32"/>
      <c r="D45" s="32"/>
      <c r="E45" s="32"/>
      <c r="F45" s="115">
        <v>6456.86</v>
      </c>
      <c r="G45" s="32"/>
    </row>
    <row r="46" spans="1:7" ht="18.75">
      <c r="A46" s="32"/>
      <c r="B46" s="42" t="s">
        <v>95</v>
      </c>
      <c r="C46" s="32"/>
      <c r="D46" s="32"/>
      <c r="E46" s="32"/>
      <c r="F46" s="115"/>
      <c r="G46" s="32"/>
    </row>
    <row r="47" spans="1:7" ht="56.25">
      <c r="A47" s="32"/>
      <c r="B47" s="53" t="s">
        <v>890</v>
      </c>
      <c r="C47" s="32"/>
      <c r="D47" s="32"/>
      <c r="E47" s="32"/>
      <c r="F47" s="115">
        <v>12907.53</v>
      </c>
      <c r="G47" s="32"/>
    </row>
    <row r="48" spans="1:7" ht="18.75">
      <c r="A48" s="32"/>
      <c r="B48" s="53" t="s">
        <v>1</v>
      </c>
      <c r="C48" s="32"/>
      <c r="D48" s="32"/>
      <c r="E48" s="32"/>
      <c r="F48" s="115">
        <v>159.14</v>
      </c>
      <c r="G48" s="32"/>
    </row>
    <row r="49" spans="1:7" ht="18.75">
      <c r="A49" s="32"/>
      <c r="B49" s="42" t="s">
        <v>96</v>
      </c>
      <c r="C49" s="32"/>
      <c r="D49" s="32"/>
      <c r="E49" s="32"/>
      <c r="F49" s="115"/>
      <c r="G49" s="32"/>
    </row>
    <row r="50" spans="1:7" ht="37.5">
      <c r="A50" s="32"/>
      <c r="B50" s="53" t="s">
        <v>891</v>
      </c>
      <c r="C50" s="32"/>
      <c r="D50" s="32"/>
      <c r="E50" s="32"/>
      <c r="F50" s="115">
        <v>4139.02</v>
      </c>
      <c r="G50" s="32"/>
    </row>
    <row r="51" spans="1:7" ht="18.75">
      <c r="A51" s="32"/>
      <c r="B51" s="53" t="s">
        <v>892</v>
      </c>
      <c r="C51" s="32"/>
      <c r="D51" s="32"/>
      <c r="E51" s="32"/>
      <c r="F51" s="115">
        <v>212.18</v>
      </c>
      <c r="G51" s="32"/>
    </row>
    <row r="52" spans="1:7" ht="18.75">
      <c r="A52" s="32"/>
      <c r="B52" s="42" t="s">
        <v>97</v>
      </c>
      <c r="C52" s="32"/>
      <c r="D52" s="32"/>
      <c r="E52" s="32"/>
      <c r="F52" s="115"/>
      <c r="G52" s="32"/>
    </row>
    <row r="53" spans="1:7" ht="37.5">
      <c r="A53" s="32"/>
      <c r="B53" s="53" t="s">
        <v>893</v>
      </c>
      <c r="C53" s="32"/>
      <c r="D53" s="32"/>
      <c r="E53" s="32"/>
      <c r="F53" s="115">
        <v>8151.6</v>
      </c>
      <c r="G53" s="32"/>
    </row>
    <row r="54" spans="1:7" ht="18.75">
      <c r="A54" s="32"/>
      <c r="B54" s="53" t="s">
        <v>894</v>
      </c>
      <c r="C54" s="32"/>
      <c r="D54" s="32"/>
      <c r="E54" s="32"/>
      <c r="F54" s="115">
        <v>384.11</v>
      </c>
      <c r="G54" s="32"/>
    </row>
    <row r="55" spans="1:7" ht="37.5">
      <c r="A55" s="32"/>
      <c r="B55" s="14" t="s">
        <v>943</v>
      </c>
      <c r="C55" s="32"/>
      <c r="D55" s="32"/>
      <c r="E55" s="32">
        <v>-6598.8</v>
      </c>
      <c r="F55" s="115">
        <f>E55</f>
        <v>-6598.8</v>
      </c>
      <c r="G55" s="32"/>
    </row>
    <row r="56" spans="1:7" ht="18.75">
      <c r="A56" s="61"/>
      <c r="B56" s="53" t="s">
        <v>9</v>
      </c>
      <c r="C56" s="32">
        <f>SUM(C13:C38)</f>
        <v>9.01</v>
      </c>
      <c r="D56" s="32">
        <f>SUM(D13:D38)</f>
        <v>9.6</v>
      </c>
      <c r="E56" s="32">
        <f>SUM(E13:E38)+E55</f>
        <v>496368.087</v>
      </c>
      <c r="F56" s="32">
        <f>F13+F14+F15+F16+F17+F18+F55</f>
        <v>335471.28200000006</v>
      </c>
      <c r="G56" s="32">
        <f>G13+G14+G15+G16+G17+G18</f>
        <v>518912.6399999999</v>
      </c>
    </row>
    <row r="57" spans="1:32" ht="18.75">
      <c r="A57" s="13">
        <v>5</v>
      </c>
      <c r="B57" s="54" t="s">
        <v>26</v>
      </c>
      <c r="C57" s="108">
        <v>1.58</v>
      </c>
      <c r="D57" s="108">
        <v>1.85</v>
      </c>
      <c r="E57" s="98">
        <f>H57*I57*6</f>
        <v>92701.581</v>
      </c>
      <c r="F57" s="101">
        <f>E57</f>
        <v>92701.581</v>
      </c>
      <c r="G57" s="101">
        <f>H57*12*J57</f>
        <v>102160.92599999998</v>
      </c>
      <c r="H57" s="69">
        <f>C7</f>
        <v>4504.45</v>
      </c>
      <c r="I57" s="22">
        <f>C57+D57</f>
        <v>3.43</v>
      </c>
      <c r="J57" s="34">
        <v>1.89</v>
      </c>
      <c r="K57">
        <v>10</v>
      </c>
      <c r="L57">
        <v>2</v>
      </c>
      <c r="N57" s="20">
        <f>C57*J57*K57</f>
        <v>29.862000000000002</v>
      </c>
      <c r="O57" s="20" t="e">
        <f>#REF!*J57*L57</f>
        <v>#REF!</v>
      </c>
      <c r="P57" s="20" t="e">
        <f>SUM(N57:O57)</f>
        <v>#REF!</v>
      </c>
      <c r="Q57" s="21"/>
      <c r="R57" s="22">
        <v>1.47</v>
      </c>
      <c r="S57">
        <v>1.58</v>
      </c>
      <c r="T57">
        <v>6</v>
      </c>
      <c r="U57">
        <v>6</v>
      </c>
      <c r="V57">
        <f>R57*J57*T57</f>
        <v>16.6698</v>
      </c>
      <c r="W57">
        <f>S57*U57*J57</f>
        <v>17.9172</v>
      </c>
      <c r="X57">
        <f>SUM(V57:W57)</f>
        <v>34.587</v>
      </c>
      <c r="AD57">
        <f>C8</f>
        <v>0</v>
      </c>
      <c r="AE57">
        <v>3.05</v>
      </c>
      <c r="AF57">
        <v>3.43</v>
      </c>
    </row>
    <row r="58" spans="1:7" ht="18.75">
      <c r="A58" s="62"/>
      <c r="B58" s="63"/>
      <c r="C58" s="62"/>
      <c r="D58" s="62"/>
      <c r="E58" s="62"/>
      <c r="F58" s="62"/>
      <c r="G58" s="62"/>
    </row>
    <row r="59" spans="1:7" ht="18.75">
      <c r="A59" s="179" t="s">
        <v>941</v>
      </c>
      <c r="B59" s="179"/>
      <c r="C59" s="183">
        <v>93766.31</v>
      </c>
      <c r="D59" s="183"/>
      <c r="E59" s="66" t="s">
        <v>18</v>
      </c>
      <c r="F59" s="62"/>
      <c r="G59" s="62"/>
    </row>
    <row r="60" spans="1:7" ht="18.75">
      <c r="A60" s="179" t="s">
        <v>942</v>
      </c>
      <c r="B60" s="179"/>
      <c r="C60" s="183">
        <v>89471.83</v>
      </c>
      <c r="D60" s="183"/>
      <c r="E60" s="66" t="s">
        <v>18</v>
      </c>
      <c r="F60" s="62"/>
      <c r="G60" s="62"/>
    </row>
    <row r="61" spans="1:7" ht="18.75">
      <c r="A61" s="209" t="s">
        <v>17</v>
      </c>
      <c r="B61" s="209"/>
      <c r="C61" s="209"/>
      <c r="D61" s="209"/>
      <c r="E61" s="209"/>
      <c r="F61" s="209"/>
      <c r="G61" s="209"/>
    </row>
    <row r="62" spans="1:7" ht="18.75" customHeight="1" hidden="1">
      <c r="A62" s="210" t="s">
        <v>35</v>
      </c>
      <c r="B62" s="210"/>
      <c r="C62" s="29" t="e">
        <f>C59-#REF!</f>
        <v>#REF!</v>
      </c>
      <c r="D62" s="62" t="s">
        <v>18</v>
      </c>
      <c r="E62" s="62"/>
      <c r="F62" s="62"/>
      <c r="G62" s="62"/>
    </row>
    <row r="63" spans="1:7" ht="18.75" customHeight="1" hidden="1">
      <c r="A63" s="210" t="s">
        <v>36</v>
      </c>
      <c r="B63" s="210"/>
      <c r="C63" s="116">
        <f>E56-F56</f>
        <v>160896.80499999993</v>
      </c>
      <c r="D63" s="116" t="str">
        <f>D62</f>
        <v>рублей</v>
      </c>
      <c r="E63" s="65"/>
      <c r="F63" s="65"/>
      <c r="G63" s="65"/>
    </row>
    <row r="64" spans="1:7" ht="18.75">
      <c r="A64" s="65"/>
      <c r="B64" s="65"/>
      <c r="C64" s="65"/>
      <c r="D64" s="65"/>
      <c r="E64" s="65"/>
      <c r="F64" s="65"/>
      <c r="G64" s="65"/>
    </row>
    <row r="65" spans="1:7" ht="18.75">
      <c r="A65" s="65"/>
      <c r="B65" s="65"/>
      <c r="C65" s="65"/>
      <c r="D65" s="65"/>
      <c r="E65" s="65"/>
      <c r="F65" s="65"/>
      <c r="G65" s="65"/>
    </row>
  </sheetData>
  <sheetProtection/>
  <mergeCells count="16">
    <mergeCell ref="A1:G2"/>
    <mergeCell ref="A3:G3"/>
    <mergeCell ref="A4:G5"/>
    <mergeCell ref="F9:F11"/>
    <mergeCell ref="G9:G11"/>
    <mergeCell ref="A9:A11"/>
    <mergeCell ref="B9:B11"/>
    <mergeCell ref="C9:D10"/>
    <mergeCell ref="E9:E11"/>
    <mergeCell ref="A59:B59"/>
    <mergeCell ref="A60:B60"/>
    <mergeCell ref="A61:G61"/>
    <mergeCell ref="A62:B62"/>
    <mergeCell ref="A63:B63"/>
    <mergeCell ref="C59:D59"/>
    <mergeCell ref="C60:D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1" r:id="rId1"/>
  <rowBreaks count="1" manualBreakCount="1">
    <brk id="43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AI69"/>
  <sheetViews>
    <sheetView view="pageBreakPreview" zoomScale="75" zoomScaleSheetLayoutView="75" zoomScalePageLayoutView="0" workbookViewId="0" topLeftCell="A43">
      <selection activeCell="F63" sqref="F63"/>
    </sheetView>
  </sheetViews>
  <sheetFormatPr defaultColWidth="9.00390625" defaultRowHeight="12.75"/>
  <cols>
    <col min="1" max="1" width="9.375" style="0" bestFit="1" customWidth="1"/>
    <col min="2" max="2" width="70.375" style="0" customWidth="1"/>
    <col min="3" max="3" width="10.75390625" style="0" customWidth="1"/>
    <col min="4" max="4" width="13.625" style="0" customWidth="1"/>
    <col min="5" max="5" width="14.25390625" style="0" customWidth="1"/>
    <col min="6" max="6" width="15.75390625" style="0" bestFit="1" customWidth="1"/>
    <col min="7" max="7" width="13.375" style="0" bestFit="1" customWidth="1"/>
    <col min="8" max="8" width="9.375" style="0" hidden="1" customWidth="1"/>
    <col min="9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32" width="0" style="0" hidden="1" customWidth="1"/>
  </cols>
  <sheetData>
    <row r="1" spans="1:8" ht="18.75">
      <c r="A1" s="183" t="s">
        <v>25</v>
      </c>
      <c r="B1" s="183"/>
      <c r="C1" s="183"/>
      <c r="D1" s="183"/>
      <c r="E1" s="183"/>
      <c r="F1" s="183"/>
      <c r="G1" s="183"/>
      <c r="H1" s="66"/>
    </row>
    <row r="2" spans="1:8" ht="18.75">
      <c r="A2" s="183"/>
      <c r="B2" s="183"/>
      <c r="C2" s="183"/>
      <c r="D2" s="183"/>
      <c r="E2" s="183"/>
      <c r="F2" s="183"/>
      <c r="G2" s="183"/>
      <c r="H2" s="66"/>
    </row>
    <row r="3" spans="1:8" ht="39.75" customHeight="1">
      <c r="A3" s="193" t="s">
        <v>3</v>
      </c>
      <c r="B3" s="193"/>
      <c r="C3" s="193"/>
      <c r="D3" s="193"/>
      <c r="E3" s="193"/>
      <c r="F3" s="193"/>
      <c r="G3" s="193"/>
      <c r="H3" s="52"/>
    </row>
    <row r="4" spans="1:8" ht="12.75">
      <c r="A4" s="183" t="s">
        <v>110</v>
      </c>
      <c r="B4" s="183"/>
      <c r="C4" s="183"/>
      <c r="D4" s="183"/>
      <c r="E4" s="183"/>
      <c r="F4" s="183"/>
      <c r="G4" s="183"/>
      <c r="H4" s="183"/>
    </row>
    <row r="5" spans="1:8" ht="12.75">
      <c r="A5" s="183"/>
      <c r="B5" s="183"/>
      <c r="C5" s="183"/>
      <c r="D5" s="183"/>
      <c r="E5" s="183"/>
      <c r="F5" s="183"/>
      <c r="G5" s="183"/>
      <c r="H5" s="183"/>
    </row>
    <row r="6" spans="1:8" ht="18.75">
      <c r="A6" s="29"/>
      <c r="B6" s="29"/>
      <c r="C6" s="29"/>
      <c r="D6" s="29"/>
      <c r="E6" s="29"/>
      <c r="F6" s="29"/>
      <c r="G6" s="29"/>
      <c r="H6" s="29"/>
    </row>
    <row r="7" spans="1:8" ht="22.5">
      <c r="A7" s="65"/>
      <c r="B7" s="64" t="s">
        <v>5</v>
      </c>
      <c r="C7" s="29">
        <v>4403.1</v>
      </c>
      <c r="D7" s="29" t="s">
        <v>31</v>
      </c>
      <c r="E7" s="62"/>
      <c r="F7" s="62"/>
      <c r="G7" s="62"/>
      <c r="H7" s="62"/>
    </row>
    <row r="8" spans="1:8" ht="18.75">
      <c r="A8" s="65"/>
      <c r="B8" s="29"/>
      <c r="C8" s="29"/>
      <c r="D8" s="29"/>
      <c r="E8" s="29"/>
      <c r="F8" s="29"/>
      <c r="G8" s="29"/>
      <c r="H8" s="29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18" t="s">
        <v>99</v>
      </c>
      <c r="F9" s="218" t="s">
        <v>74</v>
      </c>
      <c r="G9" s="218" t="s">
        <v>218</v>
      </c>
      <c r="H9" s="67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55.5" customHeight="1">
      <c r="A10" s="212"/>
      <c r="B10" s="212"/>
      <c r="C10" s="216"/>
      <c r="D10" s="217"/>
      <c r="E10" s="219"/>
      <c r="F10" s="219"/>
      <c r="G10" s="219"/>
      <c r="H10" s="61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89.25" customHeight="1">
      <c r="A11" s="213"/>
      <c r="B11" s="213"/>
      <c r="C11" s="124" t="s">
        <v>107</v>
      </c>
      <c r="D11" s="124" t="s">
        <v>106</v>
      </c>
      <c r="E11" s="220"/>
      <c r="F11" s="220"/>
      <c r="G11" s="220"/>
      <c r="H11" s="61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37.5">
      <c r="A12" s="32" t="s">
        <v>12</v>
      </c>
      <c r="B12" s="53" t="s">
        <v>20</v>
      </c>
      <c r="C12" s="32"/>
      <c r="D12" s="32"/>
      <c r="E12" s="32"/>
      <c r="F12" s="32"/>
      <c r="G12" s="32"/>
      <c r="H12" s="61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5" ht="18.75">
      <c r="A13" s="32" t="s">
        <v>13</v>
      </c>
      <c r="B13" s="53" t="s">
        <v>10</v>
      </c>
      <c r="C13" s="34">
        <v>1.09</v>
      </c>
      <c r="D13" s="34">
        <v>1.14</v>
      </c>
      <c r="E13" s="32">
        <f aca="true" t="shared" si="0" ref="E13:E18">AG13*AH13*6</f>
        <v>58913.478</v>
      </c>
      <c r="F13" s="32">
        <f>E13</f>
        <v>58913.478</v>
      </c>
      <c r="G13" s="32">
        <f aca="true" t="shared" si="1" ref="G13:G18">AG13*AI13*12</f>
        <v>60234.407999999996</v>
      </c>
      <c r="H13" s="6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4403.1</v>
      </c>
      <c r="K13">
        <v>6</v>
      </c>
      <c r="L13">
        <v>2</v>
      </c>
      <c r="M13">
        <v>4</v>
      </c>
      <c r="N13" s="20">
        <f aca="true" t="shared" si="4" ref="N13:N18">C13*J13*K13</f>
        <v>28796.274000000005</v>
      </c>
      <c r="O13" s="20" t="e">
        <f>J13*#REF!*L13</f>
        <v>#REF!</v>
      </c>
      <c r="P13" s="20">
        <f aca="true" t="shared" si="5" ref="P13:P18">D13*J13*M13</f>
        <v>20078.136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27739.530000000006</v>
      </c>
      <c r="W13">
        <f aca="true" t="shared" si="8" ref="W13:W18">U13*S13*J13</f>
        <v>28796.274000000005</v>
      </c>
      <c r="X13">
        <f aca="true" t="shared" si="9" ref="X13:X18">SUM(V13:W13)</f>
        <v>56535.80400000001</v>
      </c>
      <c r="AG13" s="69">
        <f>C7</f>
        <v>4403.1</v>
      </c>
      <c r="AH13" s="22">
        <f aca="true" t="shared" si="10" ref="AH13:AH18">C13+D13</f>
        <v>2.23</v>
      </c>
      <c r="AI13" s="34">
        <v>1.14</v>
      </c>
    </row>
    <row r="14" spans="1:35" ht="21" customHeight="1">
      <c r="A14" s="32" t="s">
        <v>14</v>
      </c>
      <c r="B14" s="53" t="s">
        <v>15</v>
      </c>
      <c r="C14" s="34">
        <v>1.39</v>
      </c>
      <c r="D14" s="34">
        <v>1.46</v>
      </c>
      <c r="E14" s="32">
        <f t="shared" si="0"/>
        <v>75293.01</v>
      </c>
      <c r="F14" s="32">
        <f>E14</f>
        <v>75293.01</v>
      </c>
      <c r="G14" s="32">
        <f t="shared" si="1"/>
        <v>77142.312</v>
      </c>
      <c r="H14" s="67">
        <f t="shared" si="2"/>
        <v>1.4594110115189</v>
      </c>
      <c r="I14" s="18">
        <f t="shared" si="3"/>
        <v>1.5572983354607999</v>
      </c>
      <c r="J14" s="19">
        <f>J13</f>
        <v>4403.1</v>
      </c>
      <c r="K14">
        <v>6</v>
      </c>
      <c r="L14">
        <v>2</v>
      </c>
      <c r="M14">
        <v>4</v>
      </c>
      <c r="N14" s="20">
        <f t="shared" si="4"/>
        <v>36721.854</v>
      </c>
      <c r="O14" s="20" t="e">
        <f>J14*#REF!*L14</f>
        <v>#REF!</v>
      </c>
      <c r="P14" s="20">
        <f t="shared" si="5"/>
        <v>25714.104000000003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35136.738000000005</v>
      </c>
      <c r="W14">
        <f t="shared" si="8"/>
        <v>36721.854</v>
      </c>
      <c r="X14">
        <f t="shared" si="9"/>
        <v>71858.592</v>
      </c>
      <c r="AG14">
        <f>AG13</f>
        <v>4403.1</v>
      </c>
      <c r="AH14" s="22">
        <f t="shared" si="10"/>
        <v>2.8499999999999996</v>
      </c>
      <c r="AI14" s="34">
        <v>1.46</v>
      </c>
    </row>
    <row r="15" spans="1:35" ht="18.75">
      <c r="A15" s="32" t="s">
        <v>16</v>
      </c>
      <c r="B15" s="53" t="s">
        <v>7</v>
      </c>
      <c r="C15" s="34"/>
      <c r="D15" s="34"/>
      <c r="E15" s="32"/>
      <c r="F15" s="32"/>
      <c r="G15" s="32"/>
      <c r="H15" s="67">
        <f t="shared" si="2"/>
        <v>0</v>
      </c>
      <c r="I15" s="18">
        <f t="shared" si="3"/>
        <v>0</v>
      </c>
      <c r="J15" s="19">
        <f>J14</f>
        <v>4403.1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3434.418</v>
      </c>
      <c r="W15">
        <f t="shared" si="8"/>
        <v>0</v>
      </c>
      <c r="X15">
        <f t="shared" si="9"/>
        <v>3434.418</v>
      </c>
      <c r="AG15">
        <f>AG14</f>
        <v>4403.1</v>
      </c>
      <c r="AH15" s="22">
        <f t="shared" si="10"/>
        <v>0</v>
      </c>
      <c r="AI15" s="34">
        <v>0</v>
      </c>
    </row>
    <row r="16" spans="1:35" ht="18.75">
      <c r="A16" s="32" t="s">
        <v>21</v>
      </c>
      <c r="B16" s="53" t="s">
        <v>11</v>
      </c>
      <c r="C16" s="34">
        <v>0.82</v>
      </c>
      <c r="D16" s="34">
        <v>0.58</v>
      </c>
      <c r="E16" s="32">
        <f t="shared" si="0"/>
        <v>36986.04</v>
      </c>
      <c r="F16" s="32">
        <f>E16</f>
        <v>36986.04</v>
      </c>
      <c r="G16" s="32">
        <f t="shared" si="1"/>
        <v>30645.576</v>
      </c>
      <c r="H16" s="67">
        <f t="shared" si="2"/>
        <v>0.8609475031982</v>
      </c>
      <c r="I16" s="18">
        <f t="shared" si="3"/>
        <v>0.9186939820703999</v>
      </c>
      <c r="J16" s="19">
        <f>J15</f>
        <v>4403.1</v>
      </c>
      <c r="K16">
        <v>6</v>
      </c>
      <c r="L16">
        <v>2</v>
      </c>
      <c r="M16">
        <v>4</v>
      </c>
      <c r="N16" s="20">
        <f t="shared" si="4"/>
        <v>21663.252</v>
      </c>
      <c r="O16" s="20" t="e">
        <f>J16*#REF!*L16</f>
        <v>#REF!</v>
      </c>
      <c r="P16" s="20">
        <f t="shared" si="5"/>
        <v>10215.192000000001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20870.694000000003</v>
      </c>
      <c r="W16">
        <f t="shared" si="8"/>
        <v>21663.252</v>
      </c>
      <c r="X16">
        <f t="shared" si="9"/>
        <v>42533.946</v>
      </c>
      <c r="AG16">
        <f>AG15</f>
        <v>4403.1</v>
      </c>
      <c r="AH16" s="22">
        <f t="shared" si="10"/>
        <v>1.4</v>
      </c>
      <c r="AI16" s="34">
        <v>0.58</v>
      </c>
    </row>
    <row r="17" spans="1:35" ht="18.75">
      <c r="A17" s="32" t="s">
        <v>22</v>
      </c>
      <c r="B17" s="53" t="s">
        <v>19</v>
      </c>
      <c r="C17" s="34">
        <v>1.24</v>
      </c>
      <c r="D17" s="34">
        <v>1.24</v>
      </c>
      <c r="E17" s="32">
        <f t="shared" si="0"/>
        <v>65518.128</v>
      </c>
      <c r="F17" s="32">
        <f>E17</f>
        <v>65518.128</v>
      </c>
      <c r="G17" s="32">
        <f t="shared" si="1"/>
        <v>65518.128</v>
      </c>
      <c r="H17" s="67">
        <f t="shared" si="2"/>
        <v>1.3019206145924</v>
      </c>
      <c r="I17" s="18">
        <f t="shared" si="3"/>
        <v>1.3892445582528</v>
      </c>
      <c r="J17" s="19">
        <f>J16</f>
        <v>4403.1</v>
      </c>
      <c r="K17">
        <v>6</v>
      </c>
      <c r="L17">
        <v>2</v>
      </c>
      <c r="M17">
        <v>4</v>
      </c>
      <c r="N17" s="20">
        <f t="shared" si="4"/>
        <v>32759.064</v>
      </c>
      <c r="O17" s="20" t="e">
        <f>J17*#REF!*L17</f>
        <v>#REF!</v>
      </c>
      <c r="P17" s="20">
        <f t="shared" si="5"/>
        <v>21839.376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32759.064</v>
      </c>
      <c r="W17">
        <f t="shared" si="8"/>
        <v>32759.064000000002</v>
      </c>
      <c r="X17">
        <f t="shared" si="9"/>
        <v>65518.128</v>
      </c>
      <c r="AG17">
        <f>AG16</f>
        <v>4403.1</v>
      </c>
      <c r="AH17" s="22">
        <f t="shared" si="10"/>
        <v>2.48</v>
      </c>
      <c r="AI17" s="34">
        <v>1.24</v>
      </c>
    </row>
    <row r="18" spans="1:35" ht="56.25">
      <c r="A18" s="32" t="s">
        <v>23</v>
      </c>
      <c r="B18" s="53" t="s">
        <v>24</v>
      </c>
      <c r="C18" s="34">
        <v>4.47</v>
      </c>
      <c r="D18" s="34">
        <v>5.18</v>
      </c>
      <c r="E18" s="32">
        <f t="shared" si="0"/>
        <v>254939.49</v>
      </c>
      <c r="F18" s="115">
        <f>F20+F21+F22+F24+F25+F27+F28+F30+F31+F32+F34+F35+F36+F38+F39+F41+F42+F43+F45+F46+F48+F49+F50+F52+F53+F54+F56+F57+F59+F60</f>
        <v>155854.11999999994</v>
      </c>
      <c r="G18" s="32">
        <f t="shared" si="1"/>
        <v>273696.696</v>
      </c>
      <c r="H18" s="67">
        <f t="shared" si="2"/>
        <v>4.6932138284097</v>
      </c>
      <c r="I18" s="18">
        <f t="shared" si="3"/>
        <v>5.008002560798399</v>
      </c>
      <c r="J18" s="19">
        <f>J17</f>
        <v>4403.1</v>
      </c>
      <c r="K18">
        <v>6</v>
      </c>
      <c r="L18">
        <v>2</v>
      </c>
      <c r="M18">
        <v>4</v>
      </c>
      <c r="N18" s="20">
        <f t="shared" si="4"/>
        <v>118091.14199999999</v>
      </c>
      <c r="O18" s="20" t="e">
        <f>J18*#REF!*L18</f>
        <v>#REF!</v>
      </c>
      <c r="P18" s="20">
        <f t="shared" si="5"/>
        <v>91232.232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111222.30600000001</v>
      </c>
      <c r="W18">
        <f t="shared" si="8"/>
        <v>122053.932</v>
      </c>
      <c r="X18">
        <f t="shared" si="9"/>
        <v>233276.238</v>
      </c>
      <c r="AG18">
        <f>AG17</f>
        <v>4403.1</v>
      </c>
      <c r="AH18" s="22">
        <f t="shared" si="10"/>
        <v>9.649999999999999</v>
      </c>
      <c r="AI18" s="34">
        <v>5.18</v>
      </c>
    </row>
    <row r="19" spans="1:19" ht="18.75">
      <c r="A19" s="32"/>
      <c r="B19" s="42" t="s">
        <v>75</v>
      </c>
      <c r="C19" s="32"/>
      <c r="D19" s="32"/>
      <c r="E19" s="32"/>
      <c r="F19" s="115"/>
      <c r="G19" s="32"/>
      <c r="H19" s="67"/>
      <c r="I19" s="18"/>
      <c r="J19" s="19"/>
      <c r="N19" s="20"/>
      <c r="O19" s="20"/>
      <c r="P19" s="20"/>
      <c r="Q19" s="21"/>
      <c r="R19" s="22"/>
      <c r="S19" s="22"/>
    </row>
    <row r="20" spans="1:19" ht="18.75">
      <c r="A20" s="32"/>
      <c r="B20" s="53" t="s">
        <v>895</v>
      </c>
      <c r="C20" s="32"/>
      <c r="D20" s="32"/>
      <c r="E20" s="32"/>
      <c r="F20" s="120">
        <v>1782.19</v>
      </c>
      <c r="G20" s="32"/>
      <c r="H20" s="67"/>
      <c r="I20" s="18"/>
      <c r="J20" s="19"/>
      <c r="N20" s="20"/>
      <c r="O20" s="20"/>
      <c r="P20" s="20"/>
      <c r="Q20" s="21"/>
      <c r="R20" s="22"/>
      <c r="S20" s="22"/>
    </row>
    <row r="21" spans="1:19" ht="37.5">
      <c r="A21" s="32"/>
      <c r="B21" s="53" t="s">
        <v>896</v>
      </c>
      <c r="C21" s="32"/>
      <c r="D21" s="32"/>
      <c r="E21" s="32"/>
      <c r="F21" s="115">
        <v>5832.78</v>
      </c>
      <c r="G21" s="32"/>
      <c r="H21" s="67"/>
      <c r="I21" s="18"/>
      <c r="J21" s="19"/>
      <c r="N21" s="20"/>
      <c r="O21" s="20"/>
      <c r="P21" s="20"/>
      <c r="Q21" s="21"/>
      <c r="R21" s="22"/>
      <c r="S21" s="22"/>
    </row>
    <row r="22" spans="1:19" ht="37.5">
      <c r="A22" s="32"/>
      <c r="B22" s="53" t="s">
        <v>897</v>
      </c>
      <c r="C22" s="32"/>
      <c r="D22" s="32"/>
      <c r="E22" s="32"/>
      <c r="F22" s="115">
        <v>2011.98</v>
      </c>
      <c r="G22" s="32"/>
      <c r="H22" s="67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32"/>
      <c r="B23" s="42" t="s">
        <v>221</v>
      </c>
      <c r="C23" s="32"/>
      <c r="D23" s="32"/>
      <c r="E23" s="32"/>
      <c r="F23" s="115"/>
      <c r="G23" s="32"/>
      <c r="H23" s="67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32"/>
      <c r="B24" s="53" t="s">
        <v>898</v>
      </c>
      <c r="C24" s="32"/>
      <c r="D24" s="32"/>
      <c r="E24" s="32"/>
      <c r="F24" s="115">
        <v>249.16</v>
      </c>
      <c r="G24" s="32"/>
      <c r="H24" s="67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32"/>
      <c r="B25" s="53" t="s">
        <v>899</v>
      </c>
      <c r="C25" s="32"/>
      <c r="D25" s="32"/>
      <c r="E25" s="32"/>
      <c r="F25" s="115">
        <v>373.3</v>
      </c>
      <c r="G25" s="32"/>
      <c r="H25" s="67"/>
      <c r="I25" s="18"/>
      <c r="J25" s="19"/>
      <c r="N25" s="20"/>
      <c r="O25" s="20"/>
      <c r="P25" s="20"/>
      <c r="Q25" s="21"/>
      <c r="R25" s="22"/>
      <c r="S25" s="22"/>
    </row>
    <row r="26" spans="1:19" ht="18.75">
      <c r="A26" s="32"/>
      <c r="B26" s="42" t="s">
        <v>89</v>
      </c>
      <c r="C26" s="32"/>
      <c r="D26" s="32"/>
      <c r="E26" s="32"/>
      <c r="F26" s="115"/>
      <c r="G26" s="32"/>
      <c r="H26" s="6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32"/>
      <c r="B27" s="53" t="s">
        <v>900</v>
      </c>
      <c r="C27" s="32"/>
      <c r="D27" s="32"/>
      <c r="E27" s="32"/>
      <c r="F27" s="115">
        <v>1500.18</v>
      </c>
      <c r="G27" s="32"/>
      <c r="H27" s="67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32"/>
      <c r="B28" s="53" t="s">
        <v>901</v>
      </c>
      <c r="C28" s="32"/>
      <c r="D28" s="32"/>
      <c r="E28" s="32"/>
      <c r="F28" s="115">
        <v>4355.6</v>
      </c>
      <c r="G28" s="32"/>
      <c r="H28" s="67"/>
      <c r="I28" s="18"/>
      <c r="J28" s="19"/>
      <c r="N28" s="20"/>
      <c r="O28" s="20"/>
      <c r="P28" s="20"/>
      <c r="Q28" s="21"/>
      <c r="R28" s="22"/>
      <c r="S28" s="22"/>
    </row>
    <row r="29" spans="1:19" ht="24.75" customHeight="1">
      <c r="A29" s="32"/>
      <c r="B29" s="42" t="s">
        <v>90</v>
      </c>
      <c r="C29" s="32"/>
      <c r="D29" s="32"/>
      <c r="E29" s="32"/>
      <c r="F29" s="115"/>
      <c r="G29" s="32"/>
      <c r="H29" s="67"/>
      <c r="I29" s="18"/>
      <c r="J29" s="19"/>
      <c r="N29" s="20"/>
      <c r="O29" s="20"/>
      <c r="P29" s="20"/>
      <c r="Q29" s="21"/>
      <c r="R29" s="22"/>
      <c r="S29" s="22"/>
    </row>
    <row r="30" spans="1:19" ht="60" customHeight="1">
      <c r="A30" s="32"/>
      <c r="B30" s="53" t="s">
        <v>902</v>
      </c>
      <c r="C30" s="32"/>
      <c r="D30" s="32"/>
      <c r="E30" s="32"/>
      <c r="F30" s="115">
        <v>8117.58</v>
      </c>
      <c r="G30" s="32"/>
      <c r="H30" s="67"/>
      <c r="I30" s="18"/>
      <c r="J30" s="19"/>
      <c r="N30" s="20"/>
      <c r="O30" s="20"/>
      <c r="P30" s="20"/>
      <c r="Q30" s="21"/>
      <c r="R30" s="22"/>
      <c r="S30" s="22"/>
    </row>
    <row r="31" spans="1:19" ht="21.75" customHeight="1">
      <c r="A31" s="32"/>
      <c r="B31" s="53" t="s">
        <v>903</v>
      </c>
      <c r="C31" s="32"/>
      <c r="D31" s="32"/>
      <c r="E31" s="32"/>
      <c r="F31" s="115">
        <v>427.94</v>
      </c>
      <c r="G31" s="32"/>
      <c r="H31" s="67"/>
      <c r="I31" s="18"/>
      <c r="J31" s="19"/>
      <c r="N31" s="20"/>
      <c r="O31" s="20"/>
      <c r="P31" s="20"/>
      <c r="Q31" s="21"/>
      <c r="R31" s="22"/>
      <c r="S31" s="22"/>
    </row>
    <row r="32" spans="1:19" ht="21.75" customHeight="1">
      <c r="A32" s="32"/>
      <c r="B32" s="53" t="s">
        <v>855</v>
      </c>
      <c r="C32" s="32"/>
      <c r="D32" s="32"/>
      <c r="E32" s="32"/>
      <c r="F32" s="115">
        <v>313.74</v>
      </c>
      <c r="G32" s="32"/>
      <c r="H32" s="67"/>
      <c r="I32" s="18"/>
      <c r="J32" s="19"/>
      <c r="N32" s="20"/>
      <c r="O32" s="20"/>
      <c r="P32" s="20"/>
      <c r="Q32" s="21"/>
      <c r="R32" s="22"/>
      <c r="S32" s="22"/>
    </row>
    <row r="33" spans="1:19" ht="21.75" customHeight="1">
      <c r="A33" s="32"/>
      <c r="B33" s="42" t="s">
        <v>539</v>
      </c>
      <c r="C33" s="32"/>
      <c r="D33" s="32"/>
      <c r="E33" s="32"/>
      <c r="F33" s="115"/>
      <c r="G33" s="32"/>
      <c r="H33" s="67"/>
      <c r="I33" s="18"/>
      <c r="J33" s="19"/>
      <c r="N33" s="20"/>
      <c r="O33" s="20"/>
      <c r="P33" s="20"/>
      <c r="Q33" s="21"/>
      <c r="R33" s="22"/>
      <c r="S33" s="22"/>
    </row>
    <row r="34" spans="1:19" ht="43.5" customHeight="1">
      <c r="A34" s="32"/>
      <c r="B34" s="53" t="s">
        <v>904</v>
      </c>
      <c r="C34" s="32"/>
      <c r="D34" s="32"/>
      <c r="E34" s="32"/>
      <c r="F34" s="115">
        <v>26732.82</v>
      </c>
      <c r="G34" s="32"/>
      <c r="H34" s="67"/>
      <c r="I34" s="18"/>
      <c r="J34" s="19"/>
      <c r="N34" s="20"/>
      <c r="O34" s="20"/>
      <c r="P34" s="20"/>
      <c r="Q34" s="21"/>
      <c r="R34" s="22"/>
      <c r="S34" s="22"/>
    </row>
    <row r="35" spans="1:19" ht="21.75" customHeight="1">
      <c r="A35" s="32"/>
      <c r="B35" s="53" t="s">
        <v>811</v>
      </c>
      <c r="C35" s="32"/>
      <c r="D35" s="32"/>
      <c r="E35" s="32"/>
      <c r="F35" s="115">
        <v>415.08</v>
      </c>
      <c r="G35" s="32"/>
      <c r="H35" s="67"/>
      <c r="I35" s="18"/>
      <c r="J35" s="19"/>
      <c r="N35" s="20"/>
      <c r="O35" s="20"/>
      <c r="P35" s="20"/>
      <c r="Q35" s="21"/>
      <c r="R35" s="22"/>
      <c r="S35" s="22"/>
    </row>
    <row r="36" spans="1:19" ht="21.75" customHeight="1">
      <c r="A36" s="32"/>
      <c r="B36" s="53" t="s">
        <v>905</v>
      </c>
      <c r="C36" s="32"/>
      <c r="D36" s="32"/>
      <c r="E36" s="32"/>
      <c r="F36" s="115">
        <v>1002.36</v>
      </c>
      <c r="G36" s="32"/>
      <c r="H36" s="67"/>
      <c r="I36" s="18"/>
      <c r="J36" s="19"/>
      <c r="N36" s="20"/>
      <c r="O36" s="20"/>
      <c r="P36" s="20"/>
      <c r="Q36" s="21"/>
      <c r="R36" s="22"/>
      <c r="S36" s="22"/>
    </row>
    <row r="37" spans="1:19" ht="21.75" customHeight="1">
      <c r="A37" s="32"/>
      <c r="B37" s="42" t="s">
        <v>124</v>
      </c>
      <c r="C37" s="32"/>
      <c r="D37" s="32"/>
      <c r="E37" s="32"/>
      <c r="F37" s="115"/>
      <c r="G37" s="32"/>
      <c r="H37" s="67"/>
      <c r="I37" s="18"/>
      <c r="J37" s="19"/>
      <c r="N37" s="20"/>
      <c r="O37" s="20"/>
      <c r="P37" s="20"/>
      <c r="Q37" s="21"/>
      <c r="R37" s="22"/>
      <c r="S37" s="22"/>
    </row>
    <row r="38" spans="1:19" ht="21.75" customHeight="1">
      <c r="A38" s="32"/>
      <c r="B38" s="53" t="s">
        <v>906</v>
      </c>
      <c r="C38" s="32"/>
      <c r="D38" s="32"/>
      <c r="E38" s="32"/>
      <c r="F38" s="115">
        <v>5356.34</v>
      </c>
      <c r="G38" s="32"/>
      <c r="H38" s="67"/>
      <c r="I38" s="18"/>
      <c r="J38" s="19"/>
      <c r="N38" s="20"/>
      <c r="O38" s="20"/>
      <c r="P38" s="20"/>
      <c r="Q38" s="21"/>
      <c r="R38" s="22"/>
      <c r="S38" s="22"/>
    </row>
    <row r="39" spans="1:19" ht="21.75" customHeight="1">
      <c r="A39" s="32"/>
      <c r="B39" s="53" t="s">
        <v>232</v>
      </c>
      <c r="C39" s="32"/>
      <c r="D39" s="32"/>
      <c r="E39" s="32"/>
      <c r="F39" s="115">
        <v>234.4</v>
      </c>
      <c r="G39" s="32"/>
      <c r="H39" s="67"/>
      <c r="I39" s="18"/>
      <c r="J39" s="19"/>
      <c r="N39" s="20"/>
      <c r="O39" s="20"/>
      <c r="P39" s="20"/>
      <c r="Q39" s="21"/>
      <c r="R39" s="22"/>
      <c r="S39" s="22"/>
    </row>
    <row r="40" spans="1:24" ht="18.75">
      <c r="A40" s="32"/>
      <c r="B40" s="42" t="s">
        <v>93</v>
      </c>
      <c r="C40" s="32"/>
      <c r="D40" s="32"/>
      <c r="E40" s="32"/>
      <c r="F40" s="115"/>
      <c r="G40" s="32"/>
      <c r="H40" s="67"/>
      <c r="I40" s="18"/>
      <c r="J40" s="19"/>
      <c r="K40">
        <v>6</v>
      </c>
      <c r="L40">
        <v>2</v>
      </c>
      <c r="M40">
        <v>4</v>
      </c>
      <c r="N40" s="20">
        <f>C40*J40*K40</f>
        <v>0</v>
      </c>
      <c r="O40" s="20" t="e">
        <f>J40*#REF!*L40</f>
        <v>#REF!</v>
      </c>
      <c r="P40" s="20">
        <f>D40*J40*M40</f>
        <v>0</v>
      </c>
      <c r="Q40" s="24"/>
      <c r="R40" s="22"/>
      <c r="V40">
        <f>J40*R40*U40</f>
        <v>0</v>
      </c>
      <c r="W40">
        <f>U40*S40*J40</f>
        <v>0</v>
      </c>
      <c r="X40">
        <f>SUM(V40:W40)</f>
        <v>0</v>
      </c>
    </row>
    <row r="41" spans="1:18" ht="37.5">
      <c r="A41" s="32"/>
      <c r="B41" s="78" t="s">
        <v>907</v>
      </c>
      <c r="C41" s="32"/>
      <c r="D41" s="32"/>
      <c r="E41" s="32"/>
      <c r="F41" s="115">
        <v>16422.36</v>
      </c>
      <c r="G41" s="32"/>
      <c r="H41" s="67"/>
      <c r="I41" s="18"/>
      <c r="J41" s="19"/>
      <c r="N41" s="20"/>
      <c r="O41" s="20"/>
      <c r="P41" s="20"/>
      <c r="Q41" s="24"/>
      <c r="R41" s="22"/>
    </row>
    <row r="42" spans="1:18" ht="18.75">
      <c r="A42" s="32"/>
      <c r="B42" s="78" t="s">
        <v>939</v>
      </c>
      <c r="C42" s="32"/>
      <c r="D42" s="32"/>
      <c r="E42" s="32"/>
      <c r="F42" s="115">
        <v>33475.75</v>
      </c>
      <c r="G42" s="32"/>
      <c r="H42" s="67"/>
      <c r="I42" s="18"/>
      <c r="J42" s="19"/>
      <c r="N42" s="20"/>
      <c r="O42" s="20"/>
      <c r="P42" s="20"/>
      <c r="Q42" s="24"/>
      <c r="R42" s="22"/>
    </row>
    <row r="43" spans="1:18" ht="37.5">
      <c r="A43" s="32"/>
      <c r="B43" s="78" t="s">
        <v>908</v>
      </c>
      <c r="C43" s="32"/>
      <c r="D43" s="32"/>
      <c r="E43" s="32"/>
      <c r="F43" s="115">
        <v>1790.99</v>
      </c>
      <c r="G43" s="32"/>
      <c r="H43" s="67"/>
      <c r="I43" s="18"/>
      <c r="J43" s="19"/>
      <c r="N43" s="20"/>
      <c r="O43" s="20"/>
      <c r="P43" s="20"/>
      <c r="Q43" s="24"/>
      <c r="R43" s="22"/>
    </row>
    <row r="44" spans="1:18" ht="18.75">
      <c r="A44" s="32"/>
      <c r="B44" s="42" t="s">
        <v>94</v>
      </c>
      <c r="C44" s="32"/>
      <c r="D44" s="32"/>
      <c r="E44" s="32"/>
      <c r="F44" s="115"/>
      <c r="G44" s="32"/>
      <c r="H44" s="67"/>
      <c r="I44" s="18"/>
      <c r="J44" s="19"/>
      <c r="N44" s="20"/>
      <c r="O44" s="20"/>
      <c r="P44" s="20"/>
      <c r="Q44" s="24"/>
      <c r="R44" s="22"/>
    </row>
    <row r="45" spans="1:18" ht="37.5">
      <c r="A45" s="32"/>
      <c r="B45" s="78" t="s">
        <v>909</v>
      </c>
      <c r="C45" s="32"/>
      <c r="D45" s="32"/>
      <c r="E45" s="32"/>
      <c r="F45" s="115">
        <v>11151.2</v>
      </c>
      <c r="G45" s="32"/>
      <c r="H45" s="67"/>
      <c r="I45" s="18"/>
      <c r="J45" s="19"/>
      <c r="N45" s="20"/>
      <c r="O45" s="20"/>
      <c r="P45" s="20"/>
      <c r="Q45" s="24"/>
      <c r="R45" s="22"/>
    </row>
    <row r="46" spans="1:18" ht="18.75">
      <c r="A46" s="32"/>
      <c r="B46" s="78" t="s">
        <v>307</v>
      </c>
      <c r="C46" s="32"/>
      <c r="D46" s="32"/>
      <c r="E46" s="32"/>
      <c r="F46" s="115">
        <v>220.93</v>
      </c>
      <c r="G46" s="32"/>
      <c r="H46" s="67"/>
      <c r="I46" s="18"/>
      <c r="J46" s="19"/>
      <c r="N46" s="20"/>
      <c r="O46" s="20"/>
      <c r="P46" s="20"/>
      <c r="Q46" s="24"/>
      <c r="R46" s="22"/>
    </row>
    <row r="47" spans="1:18" ht="18.75">
      <c r="A47" s="32"/>
      <c r="B47" s="42" t="s">
        <v>98</v>
      </c>
      <c r="C47" s="32"/>
      <c r="D47" s="32"/>
      <c r="E47" s="32"/>
      <c r="F47" s="115"/>
      <c r="G47" s="32"/>
      <c r="H47" s="67"/>
      <c r="I47" s="18"/>
      <c r="J47" s="19"/>
      <c r="N47" s="20"/>
      <c r="O47" s="20"/>
      <c r="P47" s="20"/>
      <c r="Q47" s="24"/>
      <c r="R47" s="22"/>
    </row>
    <row r="48" spans="1:18" ht="37.5">
      <c r="A48" s="32"/>
      <c r="B48" s="78" t="s">
        <v>910</v>
      </c>
      <c r="C48" s="32"/>
      <c r="D48" s="32"/>
      <c r="E48" s="32"/>
      <c r="F48" s="115">
        <v>7392.4</v>
      </c>
      <c r="G48" s="32"/>
      <c r="H48" s="67"/>
      <c r="I48" s="18"/>
      <c r="J48" s="19"/>
      <c r="N48" s="20"/>
      <c r="O48" s="20"/>
      <c r="P48" s="20"/>
      <c r="Q48" s="24"/>
      <c r="R48" s="22"/>
    </row>
    <row r="49" spans="1:18" ht="18.75">
      <c r="A49" s="32"/>
      <c r="B49" s="78" t="s">
        <v>911</v>
      </c>
      <c r="C49" s="32"/>
      <c r="D49" s="32"/>
      <c r="E49" s="32"/>
      <c r="F49" s="115">
        <v>1371.44</v>
      </c>
      <c r="G49" s="32"/>
      <c r="H49" s="67"/>
      <c r="I49" s="18"/>
      <c r="J49" s="19"/>
      <c r="N49" s="20"/>
      <c r="O49" s="20"/>
      <c r="P49" s="20"/>
      <c r="Q49" s="24"/>
      <c r="R49" s="22"/>
    </row>
    <row r="50" spans="1:18" ht="37.5">
      <c r="A50" s="32"/>
      <c r="B50" s="78" t="s">
        <v>912</v>
      </c>
      <c r="C50" s="32"/>
      <c r="D50" s="32"/>
      <c r="E50" s="32"/>
      <c r="F50" s="115">
        <v>1988.56</v>
      </c>
      <c r="G50" s="32"/>
      <c r="H50" s="67"/>
      <c r="I50" s="18"/>
      <c r="J50" s="19"/>
      <c r="N50" s="20"/>
      <c r="O50" s="20"/>
      <c r="P50" s="20"/>
      <c r="Q50" s="24"/>
      <c r="R50" s="22"/>
    </row>
    <row r="51" spans="1:18" ht="18.75">
      <c r="A51" s="32"/>
      <c r="B51" s="42" t="s">
        <v>95</v>
      </c>
      <c r="C51" s="32"/>
      <c r="D51" s="32"/>
      <c r="E51" s="32"/>
      <c r="F51" s="115"/>
      <c r="G51" s="32"/>
      <c r="H51" s="67"/>
      <c r="I51" s="18"/>
      <c r="J51" s="19"/>
      <c r="N51" s="20"/>
      <c r="O51" s="20"/>
      <c r="P51" s="20"/>
      <c r="Q51" s="24"/>
      <c r="R51" s="22"/>
    </row>
    <row r="52" spans="1:18" ht="56.25">
      <c r="A52" s="32"/>
      <c r="B52" s="78" t="s">
        <v>913</v>
      </c>
      <c r="C52" s="32"/>
      <c r="D52" s="32"/>
      <c r="E52" s="32"/>
      <c r="F52" s="115">
        <v>10700.21</v>
      </c>
      <c r="G52" s="32"/>
      <c r="H52" s="67"/>
      <c r="I52" s="18"/>
      <c r="J52" s="19"/>
      <c r="N52" s="20"/>
      <c r="O52" s="20"/>
      <c r="P52" s="20"/>
      <c r="Q52" s="24"/>
      <c r="R52" s="22"/>
    </row>
    <row r="53" spans="1:18" ht="18.75">
      <c r="A53" s="32"/>
      <c r="B53" s="78" t="s">
        <v>914</v>
      </c>
      <c r="C53" s="32"/>
      <c r="D53" s="32"/>
      <c r="E53" s="32"/>
      <c r="F53" s="115">
        <v>735.59</v>
      </c>
      <c r="G53" s="32"/>
      <c r="H53" s="67"/>
      <c r="I53" s="18"/>
      <c r="J53" s="19"/>
      <c r="N53" s="20"/>
      <c r="O53" s="20"/>
      <c r="P53" s="20"/>
      <c r="Q53" s="24"/>
      <c r="R53" s="22"/>
    </row>
    <row r="54" spans="1:18" ht="18.75">
      <c r="A54" s="32"/>
      <c r="B54" s="78" t="s">
        <v>511</v>
      </c>
      <c r="C54" s="32"/>
      <c r="D54" s="32"/>
      <c r="E54" s="32"/>
      <c r="F54" s="115">
        <v>338.86</v>
      </c>
      <c r="G54" s="32"/>
      <c r="H54" s="67"/>
      <c r="I54" s="18"/>
      <c r="J54" s="19"/>
      <c r="N54" s="20"/>
      <c r="O54" s="20"/>
      <c r="P54" s="20"/>
      <c r="Q54" s="24"/>
      <c r="R54" s="22"/>
    </row>
    <row r="55" spans="1:18" ht="18.75">
      <c r="A55" s="32"/>
      <c r="B55" s="42" t="s">
        <v>96</v>
      </c>
      <c r="C55" s="32"/>
      <c r="D55" s="32"/>
      <c r="E55" s="32"/>
      <c r="F55" s="115"/>
      <c r="G55" s="32"/>
      <c r="H55" s="67"/>
      <c r="I55" s="18"/>
      <c r="J55" s="19"/>
      <c r="N55" s="20"/>
      <c r="O55" s="20"/>
      <c r="P55" s="20"/>
      <c r="Q55" s="24"/>
      <c r="R55" s="22"/>
    </row>
    <row r="56" spans="1:18" ht="39" customHeight="1">
      <c r="A56" s="32"/>
      <c r="B56" s="78" t="s">
        <v>915</v>
      </c>
      <c r="C56" s="32"/>
      <c r="D56" s="32"/>
      <c r="E56" s="32"/>
      <c r="F56" s="115">
        <v>4293.32</v>
      </c>
      <c r="G56" s="32"/>
      <c r="H56" s="67"/>
      <c r="I56" s="18"/>
      <c r="J56" s="19"/>
      <c r="N56" s="20"/>
      <c r="O56" s="20"/>
      <c r="P56" s="20"/>
      <c r="Q56" s="24"/>
      <c r="R56" s="22"/>
    </row>
    <row r="57" spans="1:18" ht="37.5">
      <c r="A57" s="32"/>
      <c r="B57" s="78" t="s">
        <v>916</v>
      </c>
      <c r="C57" s="32"/>
      <c r="D57" s="32"/>
      <c r="E57" s="32"/>
      <c r="F57" s="115">
        <v>2051.61</v>
      </c>
      <c r="G57" s="32"/>
      <c r="H57" s="67"/>
      <c r="I57" s="18"/>
      <c r="J57" s="19"/>
      <c r="N57" s="20"/>
      <c r="O57" s="20"/>
      <c r="P57" s="20"/>
      <c r="Q57" s="24"/>
      <c r="R57" s="22"/>
    </row>
    <row r="58" spans="1:18" ht="18.75">
      <c r="A58" s="32"/>
      <c r="B58" s="42" t="s">
        <v>97</v>
      </c>
      <c r="C58" s="32"/>
      <c r="D58" s="32"/>
      <c r="E58" s="32"/>
      <c r="F58" s="115"/>
      <c r="G58" s="32"/>
      <c r="H58" s="67"/>
      <c r="I58" s="18"/>
      <c r="J58" s="19"/>
      <c r="N58" s="20"/>
      <c r="O58" s="20"/>
      <c r="P58" s="20"/>
      <c r="Q58" s="24"/>
      <c r="R58" s="22"/>
    </row>
    <row r="59" spans="1:18" ht="37.5" customHeight="1">
      <c r="A59" s="32"/>
      <c r="B59" s="78" t="s">
        <v>917</v>
      </c>
      <c r="C59" s="32"/>
      <c r="D59" s="32"/>
      <c r="E59" s="32"/>
      <c r="F59" s="115">
        <v>4903.11</v>
      </c>
      <c r="G59" s="32"/>
      <c r="H59" s="67"/>
      <c r="I59" s="18"/>
      <c r="J59" s="19"/>
      <c r="N59" s="20"/>
      <c r="O59" s="20"/>
      <c r="P59" s="20"/>
      <c r="Q59" s="24"/>
      <c r="R59" s="22"/>
    </row>
    <row r="60" spans="1:18" ht="18.75">
      <c r="A60" s="32"/>
      <c r="B60" s="78" t="s">
        <v>855</v>
      </c>
      <c r="C60" s="32"/>
      <c r="D60" s="32"/>
      <c r="E60" s="32"/>
      <c r="F60" s="115">
        <v>312.34</v>
      </c>
      <c r="G60" s="32"/>
      <c r="H60" s="67"/>
      <c r="I60" s="18"/>
      <c r="J60" s="19"/>
      <c r="N60" s="20"/>
      <c r="O60" s="20"/>
      <c r="P60" s="20"/>
      <c r="Q60" s="24"/>
      <c r="R60" s="22"/>
    </row>
    <row r="61" spans="1:18" ht="37.5">
      <c r="A61" s="32"/>
      <c r="B61" s="14" t="s">
        <v>943</v>
      </c>
      <c r="C61" s="32"/>
      <c r="D61" s="32"/>
      <c r="E61" s="32">
        <v>-3997.57</v>
      </c>
      <c r="F61" s="115">
        <f>E61</f>
        <v>-3997.57</v>
      </c>
      <c r="G61" s="32"/>
      <c r="H61" s="67"/>
      <c r="I61" s="18"/>
      <c r="J61" s="19"/>
      <c r="N61" s="20"/>
      <c r="O61" s="20"/>
      <c r="P61" s="20"/>
      <c r="Q61" s="24"/>
      <c r="R61" s="22"/>
    </row>
    <row r="62" spans="1:24" ht="18.75">
      <c r="A62" s="61"/>
      <c r="B62" s="53" t="s">
        <v>9</v>
      </c>
      <c r="C62" s="32">
        <f>SUM(C13:C40)</f>
        <v>9.01</v>
      </c>
      <c r="D62" s="32">
        <f>SUM(D13:D40)</f>
        <v>9.6</v>
      </c>
      <c r="E62" s="32">
        <f>SUM(E13:E40)+E61</f>
        <v>487652.576</v>
      </c>
      <c r="F62" s="32">
        <f>F13+F14+F15+F16+F17+F18+F61</f>
        <v>388567.20599999995</v>
      </c>
      <c r="G62" s="32">
        <f>SUM(G13:G60)</f>
        <v>507237.12</v>
      </c>
      <c r="H62" s="67">
        <f>1.04993597951*C62</f>
        <v>9.4599231753851</v>
      </c>
      <c r="I62" s="18">
        <f>1.12035851472*C62</f>
        <v>10.094430217627199</v>
      </c>
      <c r="J62" s="19">
        <f>J18</f>
        <v>4403.1</v>
      </c>
      <c r="N62" s="20"/>
      <c r="Q62" s="24"/>
      <c r="R62" s="22">
        <f>SUM(R13:R40)</f>
        <v>8.75</v>
      </c>
      <c r="S62" s="22">
        <f>SUM(S13:S40)</f>
        <v>9.16</v>
      </c>
      <c r="T62" s="22"/>
      <c r="U62" s="22"/>
      <c r="V62" s="22">
        <f>SUM(V13:V40)</f>
        <v>231162.75000000003</v>
      </c>
      <c r="W62" s="22">
        <f>SUM(W13:W40)</f>
        <v>241994.376</v>
      </c>
      <c r="X62" s="22">
        <f>SUM(X13:X40)</f>
        <v>473157.12600000005</v>
      </c>
    </row>
    <row r="63" spans="1:35" ht="18.75">
      <c r="A63" s="13">
        <v>5</v>
      </c>
      <c r="B63" s="54" t="s">
        <v>26</v>
      </c>
      <c r="C63" s="108">
        <v>1.58</v>
      </c>
      <c r="D63" s="108">
        <v>1.85</v>
      </c>
      <c r="E63" s="98">
        <f>AG63*AH63*6</f>
        <v>90615.79800000001</v>
      </c>
      <c r="F63" s="101">
        <f>E63</f>
        <v>90615.79800000001</v>
      </c>
      <c r="G63" s="101">
        <f>AI63*12*AG63</f>
        <v>99862.308</v>
      </c>
      <c r="H63" s="69">
        <f>C1</f>
        <v>0</v>
      </c>
      <c r="I63" s="22">
        <f>C63+D63</f>
        <v>3.43</v>
      </c>
      <c r="J63" s="34">
        <v>3.43</v>
      </c>
      <c r="K63">
        <v>10</v>
      </c>
      <c r="L63">
        <v>2</v>
      </c>
      <c r="N63" s="20">
        <f>C63*J63*K63</f>
        <v>54.194</v>
      </c>
      <c r="O63" s="20" t="e">
        <f>#REF!*J63*L63</f>
        <v>#REF!</v>
      </c>
      <c r="P63" s="20" t="e">
        <f>SUM(N63:O63)</f>
        <v>#REF!</v>
      </c>
      <c r="Q63" s="21"/>
      <c r="R63" s="22">
        <v>1.47</v>
      </c>
      <c r="S63">
        <v>1.58</v>
      </c>
      <c r="T63">
        <v>6</v>
      </c>
      <c r="U63">
        <v>6</v>
      </c>
      <c r="V63">
        <f>R63*J63*T63</f>
        <v>30.2526</v>
      </c>
      <c r="W63">
        <f>S63*U63*J63</f>
        <v>32.516400000000004</v>
      </c>
      <c r="X63">
        <f>SUM(V63:W63)</f>
        <v>62.769000000000005</v>
      </c>
      <c r="AG63" s="69">
        <f>AG13</f>
        <v>4403.1</v>
      </c>
      <c r="AH63">
        <f>C63+D63</f>
        <v>3.43</v>
      </c>
      <c r="AI63">
        <v>1.89</v>
      </c>
    </row>
    <row r="64" spans="1:17" ht="18.75">
      <c r="A64" s="62"/>
      <c r="B64" s="63"/>
      <c r="C64" s="62"/>
      <c r="D64" s="62"/>
      <c r="E64" s="62"/>
      <c r="F64" s="62"/>
      <c r="G64" s="62"/>
      <c r="H64" s="62"/>
      <c r="Q64" s="24"/>
    </row>
    <row r="65" spans="1:17" ht="18.75">
      <c r="A65" s="179" t="s">
        <v>941</v>
      </c>
      <c r="B65" s="179"/>
      <c r="C65" s="183">
        <v>91210.76</v>
      </c>
      <c r="D65" s="183"/>
      <c r="E65" s="66" t="s">
        <v>18</v>
      </c>
      <c r="F65" s="62"/>
      <c r="G65" s="62"/>
      <c r="H65" s="62"/>
      <c r="Q65" s="24"/>
    </row>
    <row r="66" spans="1:17" ht="18.75">
      <c r="A66" s="179" t="s">
        <v>942</v>
      </c>
      <c r="B66" s="179"/>
      <c r="C66" s="183">
        <v>90599.49</v>
      </c>
      <c r="D66" s="183"/>
      <c r="E66" s="66" t="s">
        <v>18</v>
      </c>
      <c r="F66" s="62"/>
      <c r="G66" s="62"/>
      <c r="H66" s="62"/>
      <c r="Q66" s="24"/>
    </row>
    <row r="67" spans="1:8" ht="18.75">
      <c r="A67" s="209" t="s">
        <v>17</v>
      </c>
      <c r="B67" s="209"/>
      <c r="C67" s="209"/>
      <c r="D67" s="209"/>
      <c r="E67" s="209"/>
      <c r="F67" s="209"/>
      <c r="G67" s="209"/>
      <c r="H67" s="62"/>
    </row>
    <row r="68" spans="1:8" ht="18.75" customHeight="1" hidden="1">
      <c r="A68" s="210" t="s">
        <v>35</v>
      </c>
      <c r="B68" s="210"/>
      <c r="C68" s="29" t="e">
        <f>C65-#REF!</f>
        <v>#REF!</v>
      </c>
      <c r="D68" s="62" t="s">
        <v>18</v>
      </c>
      <c r="E68" s="62"/>
      <c r="F68" s="62"/>
      <c r="G68" s="62"/>
      <c r="H68" s="62"/>
    </row>
    <row r="69" spans="1:8" ht="18.75" customHeight="1" hidden="1">
      <c r="A69" s="210" t="s">
        <v>36</v>
      </c>
      <c r="B69" s="210"/>
      <c r="C69" s="116">
        <f>E62-F62</f>
        <v>99085.37000000005</v>
      </c>
      <c r="D69" s="116" t="str">
        <f>D68</f>
        <v>рублей</v>
      </c>
      <c r="E69" s="65"/>
      <c r="F69" s="65"/>
      <c r="G69" s="65"/>
      <c r="H69" s="62"/>
    </row>
  </sheetData>
  <sheetProtection/>
  <mergeCells count="18">
    <mergeCell ref="A1:G2"/>
    <mergeCell ref="A3:G3"/>
    <mergeCell ref="A4:H5"/>
    <mergeCell ref="F9:F11"/>
    <mergeCell ref="G9:G11"/>
    <mergeCell ref="J9:Q12"/>
    <mergeCell ref="R9:X12"/>
    <mergeCell ref="A9:A11"/>
    <mergeCell ref="B9:B11"/>
    <mergeCell ref="C9:D10"/>
    <mergeCell ref="E9:E11"/>
    <mergeCell ref="C65:D65"/>
    <mergeCell ref="C66:D66"/>
    <mergeCell ref="A67:G67"/>
    <mergeCell ref="A68:B68"/>
    <mergeCell ref="A69:B69"/>
    <mergeCell ref="A65:B65"/>
    <mergeCell ref="A66:B6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8" r:id="rId1"/>
  <rowBreaks count="1" manualBreakCount="1">
    <brk id="50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N41"/>
  <sheetViews>
    <sheetView view="pageBreakPreview" zoomScale="75" zoomScaleSheetLayoutView="75" zoomScalePageLayoutView="0" workbookViewId="0" topLeftCell="A18">
      <selection activeCell="AF46" sqref="AF46"/>
    </sheetView>
  </sheetViews>
  <sheetFormatPr defaultColWidth="9.00390625" defaultRowHeight="12.75"/>
  <cols>
    <col min="1" max="1" width="9.25390625" style="0" bestFit="1" customWidth="1"/>
    <col min="2" max="2" width="46.75390625" style="0" customWidth="1"/>
    <col min="3" max="3" width="15.25390625" style="0" customWidth="1"/>
    <col min="4" max="4" width="12.75390625" style="0" customWidth="1"/>
    <col min="5" max="5" width="15.625" style="0" customWidth="1"/>
    <col min="6" max="6" width="15.625" style="0" bestFit="1" customWidth="1"/>
    <col min="7" max="7" width="12.875" style="0" bestFit="1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1" width="9.25390625" style="0" hidden="1" customWidth="1"/>
    <col min="22" max="31" width="9.125" style="0" hidden="1" customWidth="1"/>
    <col min="32" max="38" width="9.125" style="0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37.5" customHeight="1">
      <c r="A3" s="182" t="s">
        <v>4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407.2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125"/>
      <c r="G8" s="5"/>
      <c r="H8" s="5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18" t="s">
        <v>99</v>
      </c>
      <c r="F9" s="222" t="s">
        <v>74</v>
      </c>
      <c r="G9" s="218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61.5" customHeight="1">
      <c r="A10" s="212"/>
      <c r="B10" s="212"/>
      <c r="C10" s="216"/>
      <c r="D10" s="217"/>
      <c r="E10" s="219"/>
      <c r="F10" s="223"/>
      <c r="G10" s="219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99.75" customHeight="1">
      <c r="A11" s="213"/>
      <c r="B11" s="213"/>
      <c r="C11" s="124" t="s">
        <v>107</v>
      </c>
      <c r="D11" s="124" t="s">
        <v>106</v>
      </c>
      <c r="E11" s="220"/>
      <c r="F11" s="224"/>
      <c r="G11" s="220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13" t="s">
        <v>12</v>
      </c>
      <c r="B12" s="14" t="s">
        <v>20</v>
      </c>
      <c r="C12" s="13"/>
      <c r="D12" s="13"/>
      <c r="E12" s="13"/>
      <c r="F12" s="108"/>
      <c r="G12" s="1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40" ht="18.75">
      <c r="A13" s="15" t="s">
        <v>13</v>
      </c>
      <c r="B13" s="14" t="s">
        <v>10</v>
      </c>
      <c r="C13" s="34">
        <v>1.09</v>
      </c>
      <c r="D13" s="34">
        <v>1.14</v>
      </c>
      <c r="E13" s="32">
        <f aca="true" t="shared" si="0" ref="E13:E18">AF13*AG13*6</f>
        <v>5448.335999999999</v>
      </c>
      <c r="F13" s="101">
        <f>E13</f>
        <v>5448.335999999999</v>
      </c>
      <c r="G13" s="16">
        <f>AM13*AN13*12</f>
        <v>5570.495999999999</v>
      </c>
      <c r="H13" s="17">
        <f aca="true" t="shared" si="1" ref="H13:H18">1.04993597951*C13</f>
        <v>1.1444302176659003</v>
      </c>
      <c r="I13" s="18">
        <f aca="true" t="shared" si="2" ref="I13:I18">1.12035851472*C13</f>
        <v>1.2211907810448</v>
      </c>
      <c r="J13" s="19">
        <f>C7</f>
        <v>407.2</v>
      </c>
      <c r="K13">
        <v>6</v>
      </c>
      <c r="L13">
        <v>2</v>
      </c>
      <c r="M13">
        <v>4</v>
      </c>
      <c r="N13" s="20">
        <f aca="true" t="shared" si="3" ref="N13:N18">C13*J13*K13</f>
        <v>2663.088</v>
      </c>
      <c r="O13" s="20" t="e">
        <f>J13*#REF!*L13</f>
        <v>#REF!</v>
      </c>
      <c r="P13" s="20">
        <f aca="true" t="shared" si="4" ref="P13:P18">D13*J13*M13</f>
        <v>1856.8319999999999</v>
      </c>
      <c r="Q13" s="21" t="e">
        <f aca="true" t="shared" si="5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6" ref="V13:V18">J13*R13*U13</f>
        <v>2565.36</v>
      </c>
      <c r="W13">
        <f aca="true" t="shared" si="7" ref="W13:W18">U13*S13*J13</f>
        <v>2663.088</v>
      </c>
      <c r="X13">
        <f aca="true" t="shared" si="8" ref="X13:X18">SUM(V13:W13)</f>
        <v>5228.448</v>
      </c>
      <c r="AF13" s="69">
        <f>C7</f>
        <v>407.2</v>
      </c>
      <c r="AG13" s="22">
        <f aca="true" t="shared" si="9" ref="AG13:AG18">C13+D13</f>
        <v>2.23</v>
      </c>
      <c r="AH13" s="34">
        <v>1.13</v>
      </c>
      <c r="AM13">
        <v>407.2</v>
      </c>
      <c r="AN13">
        <v>1.14</v>
      </c>
    </row>
    <row r="14" spans="1:40" ht="37.5">
      <c r="A14" s="15" t="s">
        <v>14</v>
      </c>
      <c r="B14" s="14" t="s">
        <v>15</v>
      </c>
      <c r="C14" s="34">
        <v>1.39</v>
      </c>
      <c r="D14" s="34">
        <v>1.46</v>
      </c>
      <c r="E14" s="32">
        <f t="shared" si="0"/>
        <v>6963.119999999999</v>
      </c>
      <c r="F14" s="101">
        <f>E14</f>
        <v>6963.119999999999</v>
      </c>
      <c r="G14" s="16">
        <f>AM13*AN14*12</f>
        <v>7134.143999999999</v>
      </c>
      <c r="H14" s="17">
        <f t="shared" si="1"/>
        <v>1.4594110115189</v>
      </c>
      <c r="I14" s="18">
        <f t="shared" si="2"/>
        <v>1.5572983354607999</v>
      </c>
      <c r="J14" s="19">
        <f>J13</f>
        <v>407.2</v>
      </c>
      <c r="K14">
        <v>6</v>
      </c>
      <c r="L14">
        <v>2</v>
      </c>
      <c r="M14">
        <v>4</v>
      </c>
      <c r="N14" s="20">
        <f t="shared" si="3"/>
        <v>3396.048</v>
      </c>
      <c r="O14" s="20" t="e">
        <f>J14*#REF!*L14</f>
        <v>#REF!</v>
      </c>
      <c r="P14" s="20">
        <f t="shared" si="4"/>
        <v>2378.048</v>
      </c>
      <c r="Q14" s="21" t="e">
        <f t="shared" si="5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6"/>
        <v>3249.456</v>
      </c>
      <c r="W14">
        <f t="shared" si="7"/>
        <v>3396.048</v>
      </c>
      <c r="X14">
        <f t="shared" si="8"/>
        <v>6645.504</v>
      </c>
      <c r="AF14">
        <f>AF13</f>
        <v>407.2</v>
      </c>
      <c r="AG14" s="22">
        <f t="shared" si="9"/>
        <v>2.8499999999999996</v>
      </c>
      <c r="AH14" s="34">
        <v>1.45</v>
      </c>
      <c r="AM14">
        <v>407.2</v>
      </c>
      <c r="AN14">
        <v>1.46</v>
      </c>
    </row>
    <row r="15" spans="1:39" ht="18.75">
      <c r="A15" s="15" t="s">
        <v>16</v>
      </c>
      <c r="B15" s="14" t="s">
        <v>7</v>
      </c>
      <c r="C15" s="34"/>
      <c r="D15" s="34"/>
      <c r="E15" s="32"/>
      <c r="F15" s="101"/>
      <c r="G15" s="16"/>
      <c r="H15" s="17"/>
      <c r="I15" s="18"/>
      <c r="J15" s="19">
        <f>J14</f>
        <v>407.2</v>
      </c>
      <c r="N15" s="20"/>
      <c r="O15" s="20"/>
      <c r="P15" s="20"/>
      <c r="Q15" s="21"/>
      <c r="R15" s="22"/>
      <c r="S15" s="22"/>
      <c r="AF15">
        <f>AF14</f>
        <v>407.2</v>
      </c>
      <c r="AG15" s="22"/>
      <c r="AH15" s="34"/>
      <c r="AM15">
        <v>407.2</v>
      </c>
    </row>
    <row r="16" spans="1:40" ht="18.75">
      <c r="A16" s="15" t="s">
        <v>21</v>
      </c>
      <c r="B16" s="14" t="s">
        <v>11</v>
      </c>
      <c r="C16" s="34">
        <v>0.82</v>
      </c>
      <c r="D16" s="34">
        <v>0.58</v>
      </c>
      <c r="E16" s="32">
        <f t="shared" si="0"/>
        <v>3420.4799999999996</v>
      </c>
      <c r="F16" s="101">
        <f>E16</f>
        <v>3420.4799999999996</v>
      </c>
      <c r="G16" s="16">
        <f>AM13*AN16*12</f>
        <v>2834.112</v>
      </c>
      <c r="H16" s="17">
        <f t="shared" si="1"/>
        <v>0.8609475031982</v>
      </c>
      <c r="I16" s="18">
        <f t="shared" si="2"/>
        <v>0.9186939820703999</v>
      </c>
      <c r="J16" s="19">
        <f>J15</f>
        <v>407.2</v>
      </c>
      <c r="K16">
        <v>6</v>
      </c>
      <c r="L16">
        <v>2</v>
      </c>
      <c r="M16">
        <v>4</v>
      </c>
      <c r="N16" s="20">
        <f t="shared" si="3"/>
        <v>2003.424</v>
      </c>
      <c r="O16" s="20" t="e">
        <f>J16*#REF!*L16</f>
        <v>#REF!</v>
      </c>
      <c r="P16" s="20">
        <f t="shared" si="4"/>
        <v>944.704</v>
      </c>
      <c r="Q16" s="21" t="e">
        <f t="shared" si="5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6"/>
        <v>1930.128</v>
      </c>
      <c r="W16">
        <f t="shared" si="7"/>
        <v>2003.424</v>
      </c>
      <c r="X16">
        <f t="shared" si="8"/>
        <v>3933.5519999999997</v>
      </c>
      <c r="AF16">
        <f>AF15</f>
        <v>407.2</v>
      </c>
      <c r="AG16" s="22">
        <f t="shared" si="9"/>
        <v>1.4</v>
      </c>
      <c r="AH16" s="34">
        <v>0.82</v>
      </c>
      <c r="AM16">
        <v>407.2</v>
      </c>
      <c r="AN16">
        <v>0.58</v>
      </c>
    </row>
    <row r="17" spans="1:40" ht="18.75">
      <c r="A17" s="15" t="s">
        <v>22</v>
      </c>
      <c r="B17" s="14" t="s">
        <v>19</v>
      </c>
      <c r="C17" s="34">
        <v>1.24</v>
      </c>
      <c r="D17" s="34">
        <v>1.24</v>
      </c>
      <c r="E17" s="32">
        <f t="shared" si="0"/>
        <v>6059.136</v>
      </c>
      <c r="F17" s="101">
        <f>E17</f>
        <v>6059.136</v>
      </c>
      <c r="G17" s="16">
        <f>AF17*AH17*12</f>
        <v>6059.136</v>
      </c>
      <c r="H17" s="17">
        <f t="shared" si="1"/>
        <v>1.3019206145924</v>
      </c>
      <c r="I17" s="18">
        <f t="shared" si="2"/>
        <v>1.3892445582528</v>
      </c>
      <c r="J17" s="19">
        <f>J16</f>
        <v>407.2</v>
      </c>
      <c r="K17">
        <v>6</v>
      </c>
      <c r="L17">
        <v>2</v>
      </c>
      <c r="M17">
        <v>4</v>
      </c>
      <c r="N17" s="20">
        <f t="shared" si="3"/>
        <v>3029.568</v>
      </c>
      <c r="O17" s="20" t="e">
        <f>J17*#REF!*L17</f>
        <v>#REF!</v>
      </c>
      <c r="P17" s="20">
        <f t="shared" si="4"/>
        <v>2019.712</v>
      </c>
      <c r="Q17" s="21" t="e">
        <f t="shared" si="5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6"/>
        <v>3029.568</v>
      </c>
      <c r="W17">
        <f t="shared" si="7"/>
        <v>3029.5679999999998</v>
      </c>
      <c r="X17">
        <f t="shared" si="8"/>
        <v>6059.136</v>
      </c>
      <c r="AF17">
        <f>AF16</f>
        <v>407.2</v>
      </c>
      <c r="AG17" s="22">
        <f t="shared" si="9"/>
        <v>2.48</v>
      </c>
      <c r="AH17" s="34">
        <v>1.24</v>
      </c>
      <c r="AM17">
        <v>407.2</v>
      </c>
      <c r="AN17">
        <v>1.24</v>
      </c>
    </row>
    <row r="18" spans="1:40" ht="75">
      <c r="A18" s="15" t="s">
        <v>23</v>
      </c>
      <c r="B18" s="14" t="s">
        <v>24</v>
      </c>
      <c r="C18" s="34">
        <v>4.47</v>
      </c>
      <c r="D18" s="34">
        <v>5.18</v>
      </c>
      <c r="E18" s="32">
        <f t="shared" si="0"/>
        <v>23576.879999999994</v>
      </c>
      <c r="F18" s="101">
        <f>F20+F22+F24+F26+F27+F29+F31+F32</f>
        <v>13384.779999999999</v>
      </c>
      <c r="G18" s="16">
        <f>AM13*AN18*12</f>
        <v>25311.551999999996</v>
      </c>
      <c r="H18" s="17">
        <f t="shared" si="1"/>
        <v>4.6932138284097</v>
      </c>
      <c r="I18" s="18">
        <f t="shared" si="2"/>
        <v>5.008002560798399</v>
      </c>
      <c r="J18" s="19">
        <f>J17</f>
        <v>407.2</v>
      </c>
      <c r="K18">
        <v>6</v>
      </c>
      <c r="L18">
        <v>2</v>
      </c>
      <c r="M18">
        <v>4</v>
      </c>
      <c r="N18" s="20">
        <f t="shared" si="3"/>
        <v>10921.104</v>
      </c>
      <c r="O18" s="20" t="e">
        <f>J18*#REF!*L18</f>
        <v>#REF!</v>
      </c>
      <c r="P18" s="20">
        <f t="shared" si="4"/>
        <v>8437.184</v>
      </c>
      <c r="Q18" s="21" t="e">
        <f t="shared" si="5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6"/>
        <v>10285.872</v>
      </c>
      <c r="W18">
        <f t="shared" si="7"/>
        <v>11287.583999999999</v>
      </c>
      <c r="X18">
        <f t="shared" si="8"/>
        <v>21573.456</v>
      </c>
      <c r="AF18">
        <f>AF17</f>
        <v>407.2</v>
      </c>
      <c r="AG18" s="22">
        <f t="shared" si="9"/>
        <v>9.649999999999999</v>
      </c>
      <c r="AH18" s="34">
        <v>4.74</v>
      </c>
      <c r="AM18">
        <v>407.2</v>
      </c>
      <c r="AN18">
        <v>5.18</v>
      </c>
    </row>
    <row r="19" spans="1:19" ht="18.75">
      <c r="A19" s="15"/>
      <c r="B19" s="34" t="s">
        <v>75</v>
      </c>
      <c r="C19" s="79"/>
      <c r="D19" s="79"/>
      <c r="E19" s="16"/>
      <c r="F19" s="101"/>
      <c r="G19" s="16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18.75">
      <c r="A20" s="15"/>
      <c r="B20" s="14" t="s">
        <v>786</v>
      </c>
      <c r="C20" s="79"/>
      <c r="D20" s="79"/>
      <c r="E20" s="16"/>
      <c r="F20" s="102">
        <v>2596.88</v>
      </c>
      <c r="G20" s="16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15"/>
      <c r="B21" s="33" t="s">
        <v>221</v>
      </c>
      <c r="C21" s="79"/>
      <c r="D21" s="79"/>
      <c r="E21" s="16"/>
      <c r="F21" s="102"/>
      <c r="G21" s="16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37.5">
      <c r="A22" s="15"/>
      <c r="B22" s="14" t="s">
        <v>621</v>
      </c>
      <c r="C22" s="79"/>
      <c r="D22" s="79"/>
      <c r="E22" s="16"/>
      <c r="F22" s="102">
        <v>1176.81</v>
      </c>
      <c r="G22" s="16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15"/>
      <c r="B23" s="33" t="s">
        <v>89</v>
      </c>
      <c r="C23" s="79"/>
      <c r="D23" s="79"/>
      <c r="E23" s="16"/>
      <c r="F23" s="108"/>
      <c r="G23" s="16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36" customHeight="1">
      <c r="A24" s="15"/>
      <c r="B24" s="14" t="s">
        <v>918</v>
      </c>
      <c r="C24" s="79"/>
      <c r="D24" s="79"/>
      <c r="E24" s="16"/>
      <c r="F24" s="108">
        <v>1292.21</v>
      </c>
      <c r="G24" s="16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18.75" customHeight="1">
      <c r="A25" s="15"/>
      <c r="B25" s="33" t="s">
        <v>539</v>
      </c>
      <c r="C25" s="79"/>
      <c r="D25" s="79"/>
      <c r="E25" s="16"/>
      <c r="F25" s="108"/>
      <c r="G25" s="16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21" customHeight="1">
      <c r="A26" s="15"/>
      <c r="B26" s="14" t="s">
        <v>919</v>
      </c>
      <c r="C26" s="79"/>
      <c r="D26" s="79"/>
      <c r="E26" s="16"/>
      <c r="F26" s="108">
        <v>1298.45</v>
      </c>
      <c r="G26" s="16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21" customHeight="1">
      <c r="A27" s="15"/>
      <c r="B27" s="14" t="s">
        <v>920</v>
      </c>
      <c r="C27" s="79"/>
      <c r="D27" s="79"/>
      <c r="E27" s="16"/>
      <c r="F27" s="108">
        <v>95.52</v>
      </c>
      <c r="G27" s="16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15"/>
      <c r="B28" s="33" t="s">
        <v>92</v>
      </c>
      <c r="C28" s="79"/>
      <c r="D28" s="79"/>
      <c r="E28" s="16"/>
      <c r="F28" s="108"/>
      <c r="G28" s="16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37.5">
      <c r="A29" s="15"/>
      <c r="B29" s="83" t="s">
        <v>921</v>
      </c>
      <c r="C29" s="79"/>
      <c r="D29" s="79"/>
      <c r="E29" s="16"/>
      <c r="F29" s="108">
        <v>4449.3</v>
      </c>
      <c r="G29" s="16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18.75">
      <c r="A30" s="15"/>
      <c r="B30" s="33" t="s">
        <v>95</v>
      </c>
      <c r="C30" s="79"/>
      <c r="D30" s="79"/>
      <c r="E30" s="16"/>
      <c r="F30" s="108"/>
      <c r="G30" s="16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37.5">
      <c r="A31" s="15"/>
      <c r="B31" s="83" t="s">
        <v>922</v>
      </c>
      <c r="C31" s="79"/>
      <c r="D31" s="79"/>
      <c r="E31" s="16"/>
      <c r="F31" s="108">
        <v>1977.29</v>
      </c>
      <c r="G31" s="16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18.75">
      <c r="A32" s="15"/>
      <c r="B32" s="83" t="s">
        <v>923</v>
      </c>
      <c r="C32" s="79"/>
      <c r="D32" s="79"/>
      <c r="E32" s="16"/>
      <c r="F32" s="108">
        <v>498.32</v>
      </c>
      <c r="G32" s="16"/>
      <c r="H32" s="17"/>
      <c r="I32" s="18"/>
      <c r="J32" s="19"/>
      <c r="N32" s="20"/>
      <c r="O32" s="20"/>
      <c r="P32" s="20"/>
      <c r="Q32" s="21"/>
      <c r="R32" s="22"/>
      <c r="S32" s="22"/>
    </row>
    <row r="33" spans="1:19" ht="75" hidden="1">
      <c r="A33" s="15"/>
      <c r="B33" s="14" t="s">
        <v>943</v>
      </c>
      <c r="C33" s="79"/>
      <c r="D33" s="79"/>
      <c r="E33" s="16"/>
      <c r="F33" s="108"/>
      <c r="G33" s="16"/>
      <c r="H33" s="17"/>
      <c r="I33" s="18"/>
      <c r="J33" s="19"/>
      <c r="N33" s="20"/>
      <c r="O33" s="20"/>
      <c r="P33" s="20"/>
      <c r="Q33" s="21"/>
      <c r="R33" s="22"/>
      <c r="S33" s="22"/>
    </row>
    <row r="34" spans="1:24" ht="18.75">
      <c r="A34" s="12"/>
      <c r="B34" s="14" t="s">
        <v>9</v>
      </c>
      <c r="C34" s="95">
        <f>SUM(C13:C24)</f>
        <v>9.01</v>
      </c>
      <c r="D34" s="95">
        <f>SUM(D13:D24)</f>
        <v>9.6</v>
      </c>
      <c r="E34" s="16">
        <f>SUM(E13:E24)+0.01</f>
        <v>45467.96199999999</v>
      </c>
      <c r="F34" s="16">
        <f>F13+F14+F15+F16+F17+F18</f>
        <v>35275.852</v>
      </c>
      <c r="G34" s="16">
        <f>G13+G14+G15+G16+G17+G18</f>
        <v>46909.439999999995</v>
      </c>
      <c r="H34" s="17">
        <f>1.04993597951*C34</f>
        <v>9.4599231753851</v>
      </c>
      <c r="I34" s="18">
        <f>1.12035851472*C34</f>
        <v>10.094430217627199</v>
      </c>
      <c r="J34" s="19">
        <f>J18</f>
        <v>407.2</v>
      </c>
      <c r="N34" s="20"/>
      <c r="Q34" s="24"/>
      <c r="R34" s="22">
        <f>SUM(R13:R24)</f>
        <v>8.620000000000001</v>
      </c>
      <c r="S34" s="22">
        <f>SUM(S13:S24)</f>
        <v>9.16</v>
      </c>
      <c r="T34" s="22"/>
      <c r="U34" s="22"/>
      <c r="V34" s="22">
        <f>SUM(V13:V24)</f>
        <v>21060.384</v>
      </c>
      <c r="W34" s="22">
        <f>SUM(W13:W24)</f>
        <v>22379.712</v>
      </c>
      <c r="X34" s="22">
        <f>SUM(X13:X24)</f>
        <v>43440.096</v>
      </c>
    </row>
    <row r="35" spans="1:40" ht="18.75">
      <c r="A35" s="13">
        <v>5</v>
      </c>
      <c r="B35" s="25" t="s">
        <v>26</v>
      </c>
      <c r="C35" s="108">
        <v>1.58</v>
      </c>
      <c r="D35" s="108">
        <v>1.85</v>
      </c>
      <c r="E35" s="98">
        <f>AG35*AH35*6</f>
        <v>8380.176</v>
      </c>
      <c r="F35" s="101">
        <f>E35</f>
        <v>8380.176</v>
      </c>
      <c r="G35" s="101">
        <f>AM35*AN35*12</f>
        <v>9235.295999999998</v>
      </c>
      <c r="H35" s="69" t="e">
        <f>#REF!</f>
        <v>#REF!</v>
      </c>
      <c r="I35" s="22">
        <f>C35+D35</f>
        <v>3.43</v>
      </c>
      <c r="J35" s="34">
        <v>3.43</v>
      </c>
      <c r="K35">
        <v>10</v>
      </c>
      <c r="L35">
        <v>2</v>
      </c>
      <c r="N35" s="20">
        <f>C35*J35*K35</f>
        <v>54.194</v>
      </c>
      <c r="O35" s="20" t="e">
        <f>#REF!*J35*L35</f>
        <v>#REF!</v>
      </c>
      <c r="P35" s="20" t="e">
        <f>SUM(N35:O35)</f>
        <v>#REF!</v>
      </c>
      <c r="Q35" s="21"/>
      <c r="R35" s="22">
        <v>1.47</v>
      </c>
      <c r="S35">
        <v>1.58</v>
      </c>
      <c r="T35">
        <v>6</v>
      </c>
      <c r="U35">
        <v>6</v>
      </c>
      <c r="V35">
        <f>R35*J35*T35</f>
        <v>30.2526</v>
      </c>
      <c r="W35">
        <f>S35*U35*J35</f>
        <v>32.516400000000004</v>
      </c>
      <c r="X35">
        <f>SUM(V35:W35)</f>
        <v>62.769000000000005</v>
      </c>
      <c r="AG35" s="69">
        <f>C7</f>
        <v>407.2</v>
      </c>
      <c r="AH35">
        <f>C35+D35</f>
        <v>3.43</v>
      </c>
      <c r="AI35">
        <v>3.43</v>
      </c>
      <c r="AM35">
        <v>407.2</v>
      </c>
      <c r="AN35">
        <v>1.89</v>
      </c>
    </row>
    <row r="36" spans="1:17" ht="18.75">
      <c r="A36" s="10"/>
      <c r="B36" s="26"/>
      <c r="C36" s="10"/>
      <c r="D36" s="10"/>
      <c r="E36" s="10"/>
      <c r="F36" s="10"/>
      <c r="G36" s="10"/>
      <c r="H36" s="10"/>
      <c r="Q36" s="24"/>
    </row>
    <row r="37" spans="1:17" ht="18.75">
      <c r="A37" s="179" t="s">
        <v>941</v>
      </c>
      <c r="B37" s="179"/>
      <c r="C37" s="29">
        <v>27157.27</v>
      </c>
      <c r="D37" s="221" t="s">
        <v>18</v>
      </c>
      <c r="E37" s="221"/>
      <c r="F37" s="10"/>
      <c r="G37" s="10"/>
      <c r="H37" s="10"/>
      <c r="Q37" s="24"/>
    </row>
    <row r="38" spans="1:17" ht="18.75">
      <c r="A38" s="179" t="s">
        <v>942</v>
      </c>
      <c r="B38" s="179"/>
      <c r="C38" s="29">
        <v>21379.02</v>
      </c>
      <c r="D38" s="221" t="s">
        <v>18</v>
      </c>
      <c r="E38" s="221"/>
      <c r="F38" s="10"/>
      <c r="G38" s="10"/>
      <c r="H38" s="10"/>
      <c r="Q38" s="24"/>
    </row>
    <row r="39" spans="1:8" ht="18.75">
      <c r="A39" s="180" t="s">
        <v>17</v>
      </c>
      <c r="B39" s="180"/>
      <c r="C39" s="180"/>
      <c r="D39" s="180"/>
      <c r="E39" s="180"/>
      <c r="F39" s="180"/>
      <c r="G39" s="180"/>
      <c r="H39" s="10"/>
    </row>
    <row r="40" spans="1:8" ht="18.75" customHeight="1" hidden="1">
      <c r="A40" s="181" t="s">
        <v>35</v>
      </c>
      <c r="B40" s="181"/>
      <c r="C40" s="5" t="e">
        <f>C37-#REF!</f>
        <v>#REF!</v>
      </c>
      <c r="D40" s="10" t="s">
        <v>18</v>
      </c>
      <c r="E40" s="10"/>
      <c r="F40" s="10"/>
      <c r="G40" s="10"/>
      <c r="H40" s="10"/>
    </row>
    <row r="41" spans="1:8" ht="18.75" customHeight="1" hidden="1">
      <c r="A41" s="181" t="s">
        <v>36</v>
      </c>
      <c r="B41" s="181"/>
      <c r="C41" s="85">
        <f>E34-F34</f>
        <v>10192.109999999993</v>
      </c>
      <c r="D41" s="84" t="str">
        <f>D40</f>
        <v>рублей</v>
      </c>
      <c r="H41" s="28"/>
    </row>
  </sheetData>
  <sheetProtection/>
  <mergeCells count="18">
    <mergeCell ref="A1:G2"/>
    <mergeCell ref="A3:G3"/>
    <mergeCell ref="A4:H5"/>
    <mergeCell ref="F9:F11"/>
    <mergeCell ref="G9:G11"/>
    <mergeCell ref="J9:Q12"/>
    <mergeCell ref="R9:X12"/>
    <mergeCell ref="A9:A11"/>
    <mergeCell ref="B9:B11"/>
    <mergeCell ref="C9:D10"/>
    <mergeCell ref="E9:E11"/>
    <mergeCell ref="A39:G39"/>
    <mergeCell ref="A40:B40"/>
    <mergeCell ref="A41:B41"/>
    <mergeCell ref="A37:B37"/>
    <mergeCell ref="D37:E37"/>
    <mergeCell ref="A38:B38"/>
    <mergeCell ref="D38:E38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I64"/>
  <sheetViews>
    <sheetView view="pageBreakPreview" zoomScale="75" zoomScaleSheetLayoutView="75" zoomScalePageLayoutView="0" workbookViewId="0" topLeftCell="A34">
      <selection activeCell="F58" sqref="F58"/>
    </sheetView>
  </sheetViews>
  <sheetFormatPr defaultColWidth="9.00390625" defaultRowHeight="12.75"/>
  <cols>
    <col min="2" max="2" width="66.75390625" style="0" customWidth="1"/>
    <col min="3" max="3" width="10.75390625" style="0" customWidth="1"/>
    <col min="4" max="4" width="13.75390625" style="0" customWidth="1"/>
    <col min="5" max="5" width="14.00390625" style="0" customWidth="1"/>
    <col min="6" max="6" width="15.625" style="0" bestFit="1" customWidth="1"/>
    <col min="7" max="7" width="12.875" style="0" bestFit="1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1" width="9.25390625" style="0" hidden="1" customWidth="1"/>
    <col min="22" max="26" width="11.00390625" style="0" hidden="1" customWidth="1"/>
    <col min="27" max="29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36.75" customHeight="1">
      <c r="A3" s="182" t="s">
        <v>55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4382.9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18" t="s">
        <v>99</v>
      </c>
      <c r="F9" s="222" t="s">
        <v>74</v>
      </c>
      <c r="G9" s="218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49.5" customHeight="1">
      <c r="A10" s="212"/>
      <c r="B10" s="212"/>
      <c r="C10" s="216"/>
      <c r="D10" s="217"/>
      <c r="E10" s="219"/>
      <c r="F10" s="223"/>
      <c r="G10" s="219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103.5" customHeight="1">
      <c r="A11" s="213"/>
      <c r="B11" s="213"/>
      <c r="C11" s="124" t="s">
        <v>107</v>
      </c>
      <c r="D11" s="124" t="s">
        <v>106</v>
      </c>
      <c r="E11" s="220"/>
      <c r="F11" s="224"/>
      <c r="G11" s="220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13" t="s">
        <v>12</v>
      </c>
      <c r="B12" s="14" t="s">
        <v>20</v>
      </c>
      <c r="C12" s="93"/>
      <c r="D12" s="93"/>
      <c r="E12" s="33"/>
      <c r="F12" s="33"/>
      <c r="G12" s="3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2" ht="18.75">
      <c r="A13" s="15" t="s">
        <v>13</v>
      </c>
      <c r="B13" s="14" t="s">
        <v>10</v>
      </c>
      <c r="C13" s="34">
        <v>1.09</v>
      </c>
      <c r="D13" s="34">
        <v>1.14</v>
      </c>
      <c r="E13" s="32">
        <f aca="true" t="shared" si="0" ref="E13:E18">AD13*AE13*6</f>
        <v>58643.20199999999</v>
      </c>
      <c r="F13" s="34">
        <f>E13</f>
        <v>58643.20199999999</v>
      </c>
      <c r="G13" s="34">
        <f aca="true" t="shared" si="1" ref="G13:G18">AD13*AF13*12</f>
        <v>59958.07199999999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4382.9</v>
      </c>
      <c r="K13">
        <v>6</v>
      </c>
      <c r="L13">
        <v>2</v>
      </c>
      <c r="M13">
        <v>4</v>
      </c>
      <c r="N13" s="20">
        <f aca="true" t="shared" si="4" ref="N13:N18">C13*J13*K13</f>
        <v>28664.165999999997</v>
      </c>
      <c r="O13" s="20" t="e">
        <f>J13*#REF!*L13</f>
        <v>#REF!</v>
      </c>
      <c r="P13" s="20">
        <f aca="true" t="shared" si="5" ref="P13:P18">D13*J13*M13</f>
        <v>19986.023999999998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27612.27</v>
      </c>
      <c r="W13">
        <f aca="true" t="shared" si="8" ref="W13:W18">U13*S13*J13</f>
        <v>28664.166</v>
      </c>
      <c r="X13">
        <f aca="true" t="shared" si="9" ref="X13:X18">SUM(V13:W13)</f>
        <v>56276.436</v>
      </c>
      <c r="AD13" s="69">
        <f>C7</f>
        <v>4382.9</v>
      </c>
      <c r="AE13" s="22">
        <f aca="true" t="shared" si="10" ref="AE13:AE18">C13+D13</f>
        <v>2.23</v>
      </c>
      <c r="AF13" s="34">
        <v>1.14</v>
      </c>
    </row>
    <row r="14" spans="1:32" ht="17.25" customHeight="1">
      <c r="A14" s="15" t="s">
        <v>14</v>
      </c>
      <c r="B14" s="14" t="s">
        <v>15</v>
      </c>
      <c r="C14" s="34">
        <v>1.39</v>
      </c>
      <c r="D14" s="34">
        <v>1.46</v>
      </c>
      <c r="E14" s="32">
        <f t="shared" si="0"/>
        <v>74947.58999999998</v>
      </c>
      <c r="F14" s="34">
        <f>E14</f>
        <v>74947.58999999998</v>
      </c>
      <c r="G14" s="34">
        <f t="shared" si="1"/>
        <v>76788.408</v>
      </c>
      <c r="H14" s="17">
        <f t="shared" si="2"/>
        <v>1.4594110115189</v>
      </c>
      <c r="I14" s="18">
        <f t="shared" si="3"/>
        <v>1.5572983354607999</v>
      </c>
      <c r="J14" s="19">
        <f>J13</f>
        <v>4382.9</v>
      </c>
      <c r="K14">
        <v>6</v>
      </c>
      <c r="L14">
        <v>2</v>
      </c>
      <c r="M14">
        <v>4</v>
      </c>
      <c r="N14" s="20">
        <f t="shared" si="4"/>
        <v>36553.38599999999</v>
      </c>
      <c r="O14" s="20" t="e">
        <f>J14*#REF!*L14</f>
        <v>#REF!</v>
      </c>
      <c r="P14" s="20">
        <f t="shared" si="5"/>
        <v>25596.136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34975.542</v>
      </c>
      <c r="W14">
        <f t="shared" si="8"/>
        <v>36553.386</v>
      </c>
      <c r="X14">
        <f t="shared" si="9"/>
        <v>71528.928</v>
      </c>
      <c r="AD14">
        <f>AD13</f>
        <v>4382.9</v>
      </c>
      <c r="AE14" s="22">
        <f t="shared" si="10"/>
        <v>2.8499999999999996</v>
      </c>
      <c r="AF14" s="34">
        <v>1.46</v>
      </c>
    </row>
    <row r="15" spans="1:32" ht="18.75">
      <c r="A15" s="15" t="s">
        <v>16</v>
      </c>
      <c r="B15" s="14" t="s">
        <v>7</v>
      </c>
      <c r="C15" s="34"/>
      <c r="D15" s="34"/>
      <c r="E15" s="32"/>
      <c r="F15" s="34"/>
      <c r="G15" s="34"/>
      <c r="H15" s="17">
        <f t="shared" si="2"/>
        <v>0</v>
      </c>
      <c r="I15" s="18">
        <f t="shared" si="3"/>
        <v>0</v>
      </c>
      <c r="J15" s="19">
        <f>J14</f>
        <v>4382.9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3418.6619999999994</v>
      </c>
      <c r="W15">
        <f t="shared" si="8"/>
        <v>0</v>
      </c>
      <c r="X15">
        <f t="shared" si="9"/>
        <v>3418.6619999999994</v>
      </c>
      <c r="AD15">
        <f>AD14</f>
        <v>4382.9</v>
      </c>
      <c r="AE15" s="22">
        <f t="shared" si="10"/>
        <v>0</v>
      </c>
      <c r="AF15" s="34">
        <v>0</v>
      </c>
    </row>
    <row r="16" spans="1:32" ht="18.75">
      <c r="A16" s="15" t="s">
        <v>21</v>
      </c>
      <c r="B16" s="14" t="s">
        <v>11</v>
      </c>
      <c r="C16" s="34">
        <v>0.82</v>
      </c>
      <c r="D16" s="34">
        <v>0.58</v>
      </c>
      <c r="E16" s="32">
        <f t="shared" si="0"/>
        <v>36816.36</v>
      </c>
      <c r="F16" s="34">
        <f>E16</f>
        <v>36816.36</v>
      </c>
      <c r="G16" s="34">
        <f t="shared" si="1"/>
        <v>30504.983999999993</v>
      </c>
      <c r="H16" s="17">
        <f t="shared" si="2"/>
        <v>0.8609475031982</v>
      </c>
      <c r="I16" s="18">
        <f t="shared" si="3"/>
        <v>0.9186939820703999</v>
      </c>
      <c r="J16" s="19">
        <f>J15</f>
        <v>4382.9</v>
      </c>
      <c r="K16">
        <v>6</v>
      </c>
      <c r="L16">
        <v>2</v>
      </c>
      <c r="M16">
        <v>4</v>
      </c>
      <c r="N16" s="20">
        <f t="shared" si="4"/>
        <v>21563.868</v>
      </c>
      <c r="O16" s="20" t="e">
        <f>J16*#REF!*L16</f>
        <v>#REF!</v>
      </c>
      <c r="P16" s="20">
        <f t="shared" si="5"/>
        <v>10168.327999999998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20774.946</v>
      </c>
      <c r="W16">
        <f t="shared" si="8"/>
        <v>21563.868</v>
      </c>
      <c r="X16">
        <f t="shared" si="9"/>
        <v>42338.814</v>
      </c>
      <c r="AD16">
        <f>AD15</f>
        <v>4382.9</v>
      </c>
      <c r="AE16" s="22">
        <f t="shared" si="10"/>
        <v>1.4</v>
      </c>
      <c r="AF16" s="34">
        <v>0.58</v>
      </c>
    </row>
    <row r="17" spans="1:32" ht="18.75">
      <c r="A17" s="15" t="s">
        <v>22</v>
      </c>
      <c r="B17" s="14" t="s">
        <v>19</v>
      </c>
      <c r="C17" s="34">
        <v>1.24</v>
      </c>
      <c r="D17" s="34">
        <v>1.24</v>
      </c>
      <c r="E17" s="32">
        <f t="shared" si="0"/>
        <v>65217.551999999996</v>
      </c>
      <c r="F17" s="34">
        <f>E17</f>
        <v>65217.551999999996</v>
      </c>
      <c r="G17" s="34">
        <f t="shared" si="1"/>
        <v>65217.551999999996</v>
      </c>
      <c r="H17" s="17">
        <f t="shared" si="2"/>
        <v>1.3019206145924</v>
      </c>
      <c r="I17" s="18">
        <f t="shared" si="3"/>
        <v>1.3892445582528</v>
      </c>
      <c r="J17" s="19">
        <f>J16</f>
        <v>4382.9</v>
      </c>
      <c r="K17">
        <v>6</v>
      </c>
      <c r="L17">
        <v>2</v>
      </c>
      <c r="M17">
        <v>4</v>
      </c>
      <c r="N17" s="20">
        <f t="shared" si="4"/>
        <v>32608.775999999998</v>
      </c>
      <c r="O17" s="20" t="e">
        <f>J17*#REF!*L17</f>
        <v>#REF!</v>
      </c>
      <c r="P17" s="20">
        <f t="shared" si="5"/>
        <v>21739.183999999997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32608.775999999998</v>
      </c>
      <c r="W17">
        <f t="shared" si="8"/>
        <v>32608.775999999994</v>
      </c>
      <c r="X17">
        <f t="shared" si="9"/>
        <v>65217.551999999996</v>
      </c>
      <c r="AD17">
        <f>AD16</f>
        <v>4382.9</v>
      </c>
      <c r="AE17" s="22">
        <f t="shared" si="10"/>
        <v>2.48</v>
      </c>
      <c r="AF17" s="34">
        <v>1.24</v>
      </c>
    </row>
    <row r="18" spans="1:32" ht="56.25">
      <c r="A18" s="15" t="s">
        <v>23</v>
      </c>
      <c r="B18" s="14" t="s">
        <v>24</v>
      </c>
      <c r="C18" s="34">
        <v>4.47</v>
      </c>
      <c r="D18" s="34">
        <v>5.18</v>
      </c>
      <c r="E18" s="32">
        <f t="shared" si="0"/>
        <v>253769.90999999997</v>
      </c>
      <c r="F18" s="98">
        <f>F20+F21+F23+F24+F26+F28+F29+F31+F32+F34+F35+F36+F38+F39+F41+F42+F44+F45+F46+F48+F49+F51+F52+F54+F55+E49</f>
        <v>148743.71000000002</v>
      </c>
      <c r="G18" s="34">
        <f t="shared" si="1"/>
        <v>272441.064</v>
      </c>
      <c r="H18" s="17">
        <f t="shared" si="2"/>
        <v>4.6932138284097</v>
      </c>
      <c r="I18" s="18">
        <f t="shared" si="3"/>
        <v>5.008002560798399</v>
      </c>
      <c r="J18" s="19">
        <f>J17</f>
        <v>4382.9</v>
      </c>
      <c r="K18">
        <v>6</v>
      </c>
      <c r="L18">
        <v>2</v>
      </c>
      <c r="M18">
        <v>4</v>
      </c>
      <c r="N18" s="20">
        <f t="shared" si="4"/>
        <v>117549.378</v>
      </c>
      <c r="O18" s="20" t="e">
        <f>J18*#REF!*L18</f>
        <v>#REF!</v>
      </c>
      <c r="P18" s="20">
        <f t="shared" si="5"/>
        <v>90813.688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110712.05399999999</v>
      </c>
      <c r="W18">
        <f t="shared" si="8"/>
        <v>121493.98799999998</v>
      </c>
      <c r="X18">
        <f t="shared" si="9"/>
        <v>232206.04199999996</v>
      </c>
      <c r="AD18">
        <f>AD17</f>
        <v>4382.9</v>
      </c>
      <c r="AE18" s="22">
        <f t="shared" si="10"/>
        <v>9.649999999999999</v>
      </c>
      <c r="AF18" s="34">
        <v>5.18</v>
      </c>
    </row>
    <row r="19" spans="1:19" ht="18.75">
      <c r="A19" s="15"/>
      <c r="B19" s="34" t="s">
        <v>75</v>
      </c>
      <c r="C19" s="75"/>
      <c r="D19" s="75"/>
      <c r="E19" s="34"/>
      <c r="F19" s="98"/>
      <c r="G19" s="34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37.5">
      <c r="A20" s="15"/>
      <c r="B20" s="14" t="s">
        <v>510</v>
      </c>
      <c r="C20" s="75"/>
      <c r="D20" s="75"/>
      <c r="E20" s="34"/>
      <c r="F20" s="117">
        <v>12187.25</v>
      </c>
      <c r="G20" s="34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15"/>
      <c r="B21" s="14" t="s">
        <v>511</v>
      </c>
      <c r="C21" s="75"/>
      <c r="D21" s="75"/>
      <c r="E21" s="34"/>
      <c r="F21" s="117">
        <v>341.5</v>
      </c>
      <c r="G21" s="34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18.75">
      <c r="A22" s="15"/>
      <c r="B22" s="33" t="s">
        <v>88</v>
      </c>
      <c r="C22" s="75"/>
      <c r="D22" s="75"/>
      <c r="E22" s="34"/>
      <c r="F22" s="117"/>
      <c r="G22" s="34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21.75" customHeight="1">
      <c r="A23" s="15"/>
      <c r="B23" s="14" t="s">
        <v>512</v>
      </c>
      <c r="C23" s="75"/>
      <c r="D23" s="75"/>
      <c r="E23" s="34"/>
      <c r="F23" s="117">
        <v>9833.32</v>
      </c>
      <c r="G23" s="34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37.5">
      <c r="A24" s="15"/>
      <c r="B24" s="14" t="s">
        <v>513</v>
      </c>
      <c r="C24" s="75"/>
      <c r="D24" s="75"/>
      <c r="E24" s="34"/>
      <c r="F24" s="117">
        <v>1772.38</v>
      </c>
      <c r="G24" s="34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15"/>
      <c r="B25" s="33" t="s">
        <v>514</v>
      </c>
      <c r="C25" s="75"/>
      <c r="D25" s="75"/>
      <c r="E25" s="34"/>
      <c r="F25" s="117"/>
      <c r="G25" s="34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37.5">
      <c r="A26" s="15"/>
      <c r="B26" s="14" t="s">
        <v>515</v>
      </c>
      <c r="C26" s="75"/>
      <c r="D26" s="75"/>
      <c r="E26" s="34"/>
      <c r="F26" s="117">
        <v>19154.34</v>
      </c>
      <c r="G26" s="34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15"/>
      <c r="B27" s="33" t="s">
        <v>90</v>
      </c>
      <c r="C27" s="75"/>
      <c r="D27" s="75"/>
      <c r="E27" s="34"/>
      <c r="F27" s="106"/>
      <c r="G27" s="34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18.75" customHeight="1">
      <c r="A28" s="15"/>
      <c r="B28" s="14" t="s">
        <v>516</v>
      </c>
      <c r="C28" s="75"/>
      <c r="D28" s="75"/>
      <c r="E28" s="34"/>
      <c r="F28" s="106">
        <v>7780.08</v>
      </c>
      <c r="G28" s="34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18.75" customHeight="1">
      <c r="A29" s="15"/>
      <c r="B29" s="14" t="s">
        <v>29</v>
      </c>
      <c r="C29" s="75"/>
      <c r="D29" s="75"/>
      <c r="E29" s="34"/>
      <c r="F29" s="106">
        <v>285.96</v>
      </c>
      <c r="G29" s="34"/>
      <c r="H29" s="17"/>
      <c r="I29" s="18"/>
      <c r="J29" s="19"/>
      <c r="N29" s="20"/>
      <c r="O29" s="20"/>
      <c r="P29" s="20"/>
      <c r="Q29" s="21"/>
      <c r="R29" s="22"/>
      <c r="S29" s="22"/>
    </row>
    <row r="30" spans="1:24" ht="18.75">
      <c r="A30" s="15"/>
      <c r="B30" s="33" t="s">
        <v>91</v>
      </c>
      <c r="C30" s="75"/>
      <c r="D30" s="75"/>
      <c r="E30" s="34"/>
      <c r="F30" s="106"/>
      <c r="G30" s="34"/>
      <c r="H30" s="17"/>
      <c r="I30" s="18"/>
      <c r="J30" s="19"/>
      <c r="K30">
        <v>6</v>
      </c>
      <c r="L30">
        <v>2</v>
      </c>
      <c r="M30">
        <v>4</v>
      </c>
      <c r="N30" s="20">
        <f>C30*J30*K30</f>
        <v>0</v>
      </c>
      <c r="O30" s="20" t="e">
        <f>J30*#REF!*L30</f>
        <v>#REF!</v>
      </c>
      <c r="P30" s="20">
        <f>D30*J30*M30</f>
        <v>0</v>
      </c>
      <c r="Q30" s="24"/>
      <c r="R30" s="22"/>
      <c r="V30">
        <f>J30*R30*U30</f>
        <v>0</v>
      </c>
      <c r="W30">
        <f>U30*S30*J30</f>
        <v>0</v>
      </c>
      <c r="X30">
        <f>SUM(V30:W30)</f>
        <v>0</v>
      </c>
    </row>
    <row r="31" spans="1:24" ht="20.25" customHeight="1">
      <c r="A31" s="15"/>
      <c r="B31" s="14" t="s">
        <v>517</v>
      </c>
      <c r="C31" s="75"/>
      <c r="D31" s="75"/>
      <c r="E31" s="34"/>
      <c r="F31" s="106">
        <v>10292.75</v>
      </c>
      <c r="G31" s="34"/>
      <c r="H31" s="17"/>
      <c r="I31" s="18"/>
      <c r="J31" s="19"/>
      <c r="K31">
        <v>6</v>
      </c>
      <c r="L31">
        <v>2</v>
      </c>
      <c r="M31">
        <v>4</v>
      </c>
      <c r="N31" s="20">
        <f>C31*J31*K31</f>
        <v>0</v>
      </c>
      <c r="O31" s="20" t="e">
        <f>J31*#REF!*L31</f>
        <v>#REF!</v>
      </c>
      <c r="P31" s="20">
        <f>D31*J31*M31</f>
        <v>0</v>
      </c>
      <c r="Q31" s="24"/>
      <c r="R31" s="22"/>
      <c r="V31">
        <f>J31*R31*U31</f>
        <v>0</v>
      </c>
      <c r="W31">
        <f>U31*S31*J31</f>
        <v>0</v>
      </c>
      <c r="X31">
        <f>SUM(V31:W31)</f>
        <v>0</v>
      </c>
    </row>
    <row r="32" spans="1:18" ht="18.75">
      <c r="A32" s="15"/>
      <c r="B32" s="33" t="s">
        <v>518</v>
      </c>
      <c r="C32" s="75"/>
      <c r="D32" s="75"/>
      <c r="E32" s="34"/>
      <c r="F32" s="106">
        <v>472.99</v>
      </c>
      <c r="G32" s="34"/>
      <c r="H32" s="17"/>
      <c r="I32" s="18"/>
      <c r="J32" s="19"/>
      <c r="N32" s="20"/>
      <c r="O32" s="20"/>
      <c r="P32" s="20"/>
      <c r="Q32" s="24"/>
      <c r="R32" s="22"/>
    </row>
    <row r="33" spans="1:18" ht="18.75">
      <c r="A33" s="15"/>
      <c r="B33" s="33" t="s">
        <v>92</v>
      </c>
      <c r="C33" s="75"/>
      <c r="D33" s="75"/>
      <c r="E33" s="34"/>
      <c r="F33" s="106"/>
      <c r="G33" s="34"/>
      <c r="H33" s="17"/>
      <c r="I33" s="18"/>
      <c r="J33" s="19"/>
      <c r="N33" s="20"/>
      <c r="O33" s="20"/>
      <c r="P33" s="20"/>
      <c r="Q33" s="24"/>
      <c r="R33" s="22"/>
    </row>
    <row r="34" spans="1:18" ht="19.5" customHeight="1">
      <c r="A34" s="15"/>
      <c r="B34" s="33" t="s">
        <v>519</v>
      </c>
      <c r="C34" s="75"/>
      <c r="D34" s="75"/>
      <c r="E34" s="34"/>
      <c r="F34" s="106">
        <v>6381.35</v>
      </c>
      <c r="G34" s="34"/>
      <c r="H34" s="17"/>
      <c r="I34" s="18"/>
      <c r="J34" s="19"/>
      <c r="N34" s="20"/>
      <c r="O34" s="20"/>
      <c r="P34" s="20"/>
      <c r="Q34" s="24"/>
      <c r="R34" s="22"/>
    </row>
    <row r="35" spans="1:18" ht="18.75">
      <c r="A35" s="15"/>
      <c r="B35" s="33" t="s">
        <v>520</v>
      </c>
      <c r="C35" s="75"/>
      <c r="D35" s="75"/>
      <c r="E35" s="34"/>
      <c r="F35" s="106">
        <v>1043.74</v>
      </c>
      <c r="G35" s="34"/>
      <c r="H35" s="17"/>
      <c r="I35" s="18"/>
      <c r="J35" s="19"/>
      <c r="N35" s="20"/>
      <c r="O35" s="20"/>
      <c r="P35" s="20"/>
      <c r="Q35" s="24"/>
      <c r="R35" s="22"/>
    </row>
    <row r="36" spans="1:18" ht="18.75">
      <c r="A36" s="15"/>
      <c r="B36" s="33" t="s">
        <v>232</v>
      </c>
      <c r="C36" s="75"/>
      <c r="D36" s="75"/>
      <c r="E36" s="34"/>
      <c r="F36" s="106">
        <v>202.65</v>
      </c>
      <c r="G36" s="34"/>
      <c r="H36" s="17"/>
      <c r="I36" s="18"/>
      <c r="J36" s="19"/>
      <c r="N36" s="20"/>
      <c r="O36" s="20"/>
      <c r="P36" s="20"/>
      <c r="Q36" s="24"/>
      <c r="R36" s="22"/>
    </row>
    <row r="37" spans="1:18" ht="18.75">
      <c r="A37" s="15"/>
      <c r="B37" s="33" t="s">
        <v>93</v>
      </c>
      <c r="C37" s="75"/>
      <c r="D37" s="75"/>
      <c r="E37" s="34"/>
      <c r="F37" s="106"/>
      <c r="G37" s="34"/>
      <c r="H37" s="17"/>
      <c r="I37" s="18"/>
      <c r="J37" s="19"/>
      <c r="N37" s="20"/>
      <c r="O37" s="20"/>
      <c r="P37" s="20"/>
      <c r="Q37" s="24"/>
      <c r="R37" s="22"/>
    </row>
    <row r="38" spans="1:18" ht="37.5">
      <c r="A38" s="15"/>
      <c r="B38" s="33" t="s">
        <v>521</v>
      </c>
      <c r="C38" s="75"/>
      <c r="D38" s="75"/>
      <c r="E38" s="34"/>
      <c r="F38" s="106">
        <v>10472.93</v>
      </c>
      <c r="G38" s="34"/>
      <c r="H38" s="17"/>
      <c r="I38" s="18"/>
      <c r="J38" s="19"/>
      <c r="N38" s="20"/>
      <c r="O38" s="20"/>
      <c r="P38" s="20"/>
      <c r="Q38" s="24"/>
      <c r="R38" s="22"/>
    </row>
    <row r="39" spans="1:18" ht="18.75">
      <c r="A39" s="15"/>
      <c r="B39" s="33" t="s">
        <v>522</v>
      </c>
      <c r="C39" s="75"/>
      <c r="D39" s="75"/>
      <c r="E39" s="34"/>
      <c r="F39" s="106">
        <v>347.8</v>
      </c>
      <c r="G39" s="34"/>
      <c r="H39" s="17"/>
      <c r="I39" s="18"/>
      <c r="J39" s="19"/>
      <c r="N39" s="20"/>
      <c r="O39" s="20"/>
      <c r="P39" s="20"/>
      <c r="Q39" s="24"/>
      <c r="R39" s="22"/>
    </row>
    <row r="40" spans="1:18" ht="18.75">
      <c r="A40" s="15"/>
      <c r="B40" s="33" t="s">
        <v>94</v>
      </c>
      <c r="C40" s="75"/>
      <c r="D40" s="75"/>
      <c r="E40" s="34"/>
      <c r="F40" s="106"/>
      <c r="G40" s="34"/>
      <c r="H40" s="17"/>
      <c r="I40" s="18"/>
      <c r="J40" s="19"/>
      <c r="N40" s="20"/>
      <c r="O40" s="20"/>
      <c r="P40" s="20"/>
      <c r="Q40" s="24"/>
      <c r="R40" s="22"/>
    </row>
    <row r="41" spans="1:18" ht="37.5">
      <c r="A41" s="15"/>
      <c r="B41" s="33" t="s">
        <v>523</v>
      </c>
      <c r="C41" s="75"/>
      <c r="D41" s="75"/>
      <c r="E41" s="34"/>
      <c r="F41" s="106">
        <v>6214.43</v>
      </c>
      <c r="G41" s="34"/>
      <c r="H41" s="17"/>
      <c r="I41" s="18"/>
      <c r="J41" s="19"/>
      <c r="N41" s="20"/>
      <c r="O41" s="20"/>
      <c r="P41" s="20"/>
      <c r="Q41" s="24"/>
      <c r="R41" s="22"/>
    </row>
    <row r="42" spans="1:18" ht="37.5">
      <c r="A42" s="15"/>
      <c r="B42" s="33" t="s">
        <v>524</v>
      </c>
      <c r="C42" s="75"/>
      <c r="D42" s="75"/>
      <c r="E42" s="34"/>
      <c r="F42" s="106">
        <v>3833.62</v>
      </c>
      <c r="G42" s="34"/>
      <c r="H42" s="17"/>
      <c r="I42" s="18"/>
      <c r="J42" s="19"/>
      <c r="N42" s="20"/>
      <c r="O42" s="20"/>
      <c r="P42" s="20"/>
      <c r="Q42" s="24"/>
      <c r="R42" s="22"/>
    </row>
    <row r="43" spans="1:18" ht="18.75">
      <c r="A43" s="15"/>
      <c r="B43" s="33" t="s">
        <v>98</v>
      </c>
      <c r="C43" s="75"/>
      <c r="D43" s="75"/>
      <c r="E43" s="34"/>
      <c r="F43" s="106"/>
      <c r="G43" s="34"/>
      <c r="H43" s="17"/>
      <c r="I43" s="18"/>
      <c r="J43" s="19"/>
      <c r="N43" s="20"/>
      <c r="O43" s="20"/>
      <c r="P43" s="20"/>
      <c r="Q43" s="24"/>
      <c r="R43" s="22"/>
    </row>
    <row r="44" spans="1:18" ht="37.5">
      <c r="A44" s="15"/>
      <c r="B44" s="14" t="s">
        <v>525</v>
      </c>
      <c r="C44" s="75"/>
      <c r="D44" s="75"/>
      <c r="E44" s="34"/>
      <c r="F44" s="106">
        <v>12778.24</v>
      </c>
      <c r="G44" s="34"/>
      <c r="H44" s="17"/>
      <c r="I44" s="18"/>
      <c r="J44" s="19"/>
      <c r="N44" s="20"/>
      <c r="O44" s="20"/>
      <c r="P44" s="20"/>
      <c r="Q44" s="24"/>
      <c r="R44" s="22"/>
    </row>
    <row r="45" spans="1:18" ht="18.75">
      <c r="A45" s="15"/>
      <c r="B45" s="14" t="s">
        <v>526</v>
      </c>
      <c r="C45" s="75"/>
      <c r="D45" s="75"/>
      <c r="E45" s="34"/>
      <c r="F45" s="106">
        <v>11042.5</v>
      </c>
      <c r="G45" s="34"/>
      <c r="H45" s="17"/>
      <c r="I45" s="18"/>
      <c r="J45" s="19"/>
      <c r="N45" s="20"/>
      <c r="O45" s="20"/>
      <c r="P45" s="20"/>
      <c r="Q45" s="24"/>
      <c r="R45" s="22"/>
    </row>
    <row r="46" spans="1:18" ht="18.75">
      <c r="A46" s="15"/>
      <c r="B46" s="14" t="s">
        <v>332</v>
      </c>
      <c r="C46" s="75"/>
      <c r="D46" s="75"/>
      <c r="E46" s="34"/>
      <c r="F46" s="106">
        <v>336.43</v>
      </c>
      <c r="G46" s="34"/>
      <c r="H46" s="17"/>
      <c r="I46" s="18"/>
      <c r="J46" s="19"/>
      <c r="N46" s="20"/>
      <c r="O46" s="20"/>
      <c r="P46" s="20"/>
      <c r="Q46" s="24"/>
      <c r="R46" s="22"/>
    </row>
    <row r="47" spans="1:18" ht="18.75">
      <c r="A47" s="15"/>
      <c r="B47" s="33" t="s">
        <v>95</v>
      </c>
      <c r="C47" s="75"/>
      <c r="D47" s="75"/>
      <c r="E47" s="34"/>
      <c r="F47" s="106"/>
      <c r="G47" s="34"/>
      <c r="H47" s="17"/>
      <c r="I47" s="18"/>
      <c r="J47" s="19"/>
      <c r="N47" s="20"/>
      <c r="O47" s="20"/>
      <c r="P47" s="20"/>
      <c r="Q47" s="24"/>
      <c r="R47" s="22"/>
    </row>
    <row r="48" spans="1:18" ht="56.25">
      <c r="A48" s="15"/>
      <c r="B48" s="14" t="s">
        <v>527</v>
      </c>
      <c r="C48" s="75"/>
      <c r="D48" s="75"/>
      <c r="E48" s="34"/>
      <c r="F48" s="106">
        <v>14519.85</v>
      </c>
      <c r="G48" s="34"/>
      <c r="H48" s="17"/>
      <c r="I48" s="18"/>
      <c r="J48" s="19"/>
      <c r="N48" s="20"/>
      <c r="O48" s="20"/>
      <c r="P48" s="20"/>
      <c r="Q48" s="24"/>
      <c r="R48" s="22"/>
    </row>
    <row r="49" spans="1:18" ht="18.75">
      <c r="A49" s="15"/>
      <c r="B49" s="14" t="s">
        <v>528</v>
      </c>
      <c r="C49" s="75"/>
      <c r="D49" s="75"/>
      <c r="E49" s="34"/>
      <c r="F49" s="106">
        <v>722.11</v>
      </c>
      <c r="G49" s="34"/>
      <c r="H49" s="17"/>
      <c r="I49" s="18"/>
      <c r="J49" s="19"/>
      <c r="N49" s="20"/>
      <c r="O49" s="20"/>
      <c r="P49" s="20"/>
      <c r="Q49" s="24"/>
      <c r="R49" s="22"/>
    </row>
    <row r="50" spans="1:18" ht="18.75">
      <c r="A50" s="15"/>
      <c r="B50" s="33" t="s">
        <v>96</v>
      </c>
      <c r="C50" s="75"/>
      <c r="D50" s="75"/>
      <c r="E50" s="34"/>
      <c r="F50" s="106"/>
      <c r="G50" s="34"/>
      <c r="H50" s="17"/>
      <c r="I50" s="18"/>
      <c r="J50" s="19"/>
      <c r="N50" s="20"/>
      <c r="O50" s="20"/>
      <c r="P50" s="20"/>
      <c r="Q50" s="24"/>
      <c r="R50" s="22"/>
    </row>
    <row r="51" spans="1:18" ht="37.5">
      <c r="A51" s="15"/>
      <c r="B51" s="14" t="s">
        <v>529</v>
      </c>
      <c r="C51" s="75"/>
      <c r="D51" s="75"/>
      <c r="E51" s="34"/>
      <c r="F51" s="106">
        <v>4738.7</v>
      </c>
      <c r="G51" s="34"/>
      <c r="H51" s="17"/>
      <c r="I51" s="18"/>
      <c r="J51" s="19"/>
      <c r="N51" s="20"/>
      <c r="O51" s="20"/>
      <c r="P51" s="20"/>
      <c r="Q51" s="24"/>
      <c r="R51" s="22"/>
    </row>
    <row r="52" spans="1:18" ht="18.75">
      <c r="A52" s="15"/>
      <c r="B52" s="14" t="s">
        <v>530</v>
      </c>
      <c r="C52" s="75"/>
      <c r="D52" s="75"/>
      <c r="E52" s="34"/>
      <c r="F52" s="106">
        <v>431.25</v>
      </c>
      <c r="G52" s="34"/>
      <c r="H52" s="17"/>
      <c r="I52" s="18"/>
      <c r="J52" s="19"/>
      <c r="N52" s="20"/>
      <c r="O52" s="20"/>
      <c r="P52" s="20"/>
      <c r="Q52" s="24"/>
      <c r="R52" s="22"/>
    </row>
    <row r="53" spans="1:18" ht="18.75">
      <c r="A53" s="15"/>
      <c r="B53" s="33" t="s">
        <v>97</v>
      </c>
      <c r="C53" s="75"/>
      <c r="D53" s="75"/>
      <c r="E53" s="34"/>
      <c r="F53" s="106"/>
      <c r="G53" s="34"/>
      <c r="H53" s="17"/>
      <c r="I53" s="18"/>
      <c r="J53" s="19"/>
      <c r="N53" s="20"/>
      <c r="O53" s="20"/>
      <c r="P53" s="20"/>
      <c r="Q53" s="24"/>
      <c r="R53" s="22"/>
    </row>
    <row r="54" spans="1:18" ht="56.25">
      <c r="A54" s="15"/>
      <c r="B54" s="14" t="s">
        <v>531</v>
      </c>
      <c r="C54" s="75"/>
      <c r="D54" s="75"/>
      <c r="E54" s="34"/>
      <c r="F54" s="106">
        <v>11346.81</v>
      </c>
      <c r="G54" s="34"/>
      <c r="H54" s="17"/>
      <c r="I54" s="18"/>
      <c r="J54" s="19"/>
      <c r="N54" s="20"/>
      <c r="O54" s="20"/>
      <c r="P54" s="20"/>
      <c r="Q54" s="24"/>
      <c r="R54" s="22"/>
    </row>
    <row r="55" spans="1:18" ht="37.5">
      <c r="A55" s="15"/>
      <c r="B55" s="14" t="s">
        <v>532</v>
      </c>
      <c r="C55" s="75"/>
      <c r="D55" s="75"/>
      <c r="E55" s="34"/>
      <c r="F55" s="106">
        <v>2210.73</v>
      </c>
      <c r="G55" s="34"/>
      <c r="H55" s="17"/>
      <c r="I55" s="18"/>
      <c r="J55" s="19"/>
      <c r="N55" s="20"/>
      <c r="O55" s="20"/>
      <c r="P55" s="20"/>
      <c r="Q55" s="24"/>
      <c r="R55" s="22"/>
    </row>
    <row r="56" spans="1:18" ht="37.5">
      <c r="A56" s="15"/>
      <c r="B56" s="14" t="s">
        <v>943</v>
      </c>
      <c r="C56" s="75"/>
      <c r="D56" s="75"/>
      <c r="E56" s="34">
        <v>-4039.91</v>
      </c>
      <c r="F56" s="98">
        <f>E56</f>
        <v>-4039.91</v>
      </c>
      <c r="G56" s="34"/>
      <c r="H56" s="17"/>
      <c r="I56" s="18"/>
      <c r="J56" s="19"/>
      <c r="N56" s="20"/>
      <c r="O56" s="20"/>
      <c r="P56" s="20"/>
      <c r="Q56" s="24"/>
      <c r="R56" s="22"/>
    </row>
    <row r="57" spans="1:24" ht="18.75">
      <c r="A57" s="12"/>
      <c r="B57" s="14" t="s">
        <v>9</v>
      </c>
      <c r="C57" s="93">
        <f>SUM(C13:C31)</f>
        <v>9.01</v>
      </c>
      <c r="D57" s="93">
        <f>SUM(D13:D31)</f>
        <v>9.6</v>
      </c>
      <c r="E57" s="34">
        <f>SUM(E13:E31)+E56</f>
        <v>485354.70399999997</v>
      </c>
      <c r="F57" s="98">
        <f>F13+F14+F15+F16+F17+F18+F56</f>
        <v>380328.504</v>
      </c>
      <c r="G57" s="34">
        <f>G13+G14+G15+G16+G17+G18</f>
        <v>504910.07999999996</v>
      </c>
      <c r="H57" s="17">
        <f>1.04993597951*C57</f>
        <v>9.4599231753851</v>
      </c>
      <c r="I57" s="18">
        <f>1.12035851472*C57</f>
        <v>10.094430217627199</v>
      </c>
      <c r="J57" s="19">
        <f>J18</f>
        <v>4382.9</v>
      </c>
      <c r="N57" s="20"/>
      <c r="Q57" s="24"/>
      <c r="R57" s="22">
        <f>SUM(R13:R31)</f>
        <v>8.75</v>
      </c>
      <c r="S57" s="22">
        <f>SUM(S13:S31)</f>
        <v>9.16</v>
      </c>
      <c r="T57" s="22"/>
      <c r="U57" s="22"/>
      <c r="V57" s="22">
        <f>SUM(V13:V31)</f>
        <v>230102.25</v>
      </c>
      <c r="W57" s="22">
        <f>SUM(W13:W31)</f>
        <v>240884.18399999998</v>
      </c>
      <c r="X57" s="22">
        <f>SUM(X13:X31)</f>
        <v>470986.434</v>
      </c>
    </row>
    <row r="58" spans="1:35" ht="18.75">
      <c r="A58" s="13">
        <v>5</v>
      </c>
      <c r="B58" s="25" t="s">
        <v>26</v>
      </c>
      <c r="C58" s="108">
        <v>1.58</v>
      </c>
      <c r="D58" s="108">
        <v>1.85</v>
      </c>
      <c r="E58" s="98">
        <f>AG58*AH58*6</f>
        <v>90200.082</v>
      </c>
      <c r="F58" s="101">
        <f>E58</f>
        <v>90200.082</v>
      </c>
      <c r="G58" s="101">
        <f>AI58*12*AG58</f>
        <v>99404.17199999999</v>
      </c>
      <c r="H58" s="69" t="e">
        <f>#REF!</f>
        <v>#REF!</v>
      </c>
      <c r="I58" s="22">
        <f>C58+D58</f>
        <v>3.43</v>
      </c>
      <c r="J58" s="34">
        <v>3.43</v>
      </c>
      <c r="K58">
        <v>10</v>
      </c>
      <c r="L58">
        <v>2</v>
      </c>
      <c r="N58" s="20">
        <f>C58*J58*K58</f>
        <v>54.194</v>
      </c>
      <c r="O58" s="20" t="e">
        <f>#REF!*J58*L58</f>
        <v>#REF!</v>
      </c>
      <c r="P58" s="20" t="e">
        <f>SUM(N58:O58)</f>
        <v>#REF!</v>
      </c>
      <c r="Q58" s="21"/>
      <c r="R58" s="22">
        <v>1.47</v>
      </c>
      <c r="S58">
        <v>1.58</v>
      </c>
      <c r="T58">
        <v>6</v>
      </c>
      <c r="U58">
        <v>6</v>
      </c>
      <c r="V58">
        <f>R58*J58*T58</f>
        <v>30.2526</v>
      </c>
      <c r="W58">
        <f>S58*U58*J58</f>
        <v>32.516400000000004</v>
      </c>
      <c r="X58">
        <f>SUM(V58:W58)</f>
        <v>62.769000000000005</v>
      </c>
      <c r="AG58" s="69">
        <f>C7</f>
        <v>4382.9</v>
      </c>
      <c r="AH58">
        <f>C58+D58</f>
        <v>3.43</v>
      </c>
      <c r="AI58">
        <v>1.89</v>
      </c>
    </row>
    <row r="59" spans="1:17" ht="18.75">
      <c r="A59" s="10"/>
      <c r="B59" s="26"/>
      <c r="C59" s="10"/>
      <c r="D59" s="10"/>
      <c r="E59" s="10"/>
      <c r="F59" s="10"/>
      <c r="G59" s="10"/>
      <c r="H59" s="10"/>
      <c r="Q59" s="24"/>
    </row>
    <row r="60" spans="1:17" ht="18.75">
      <c r="A60" s="179" t="s">
        <v>941</v>
      </c>
      <c r="B60" s="179"/>
      <c r="C60" s="183">
        <v>80013.06</v>
      </c>
      <c r="D60" s="183"/>
      <c r="E60" s="6" t="s">
        <v>18</v>
      </c>
      <c r="F60" s="10"/>
      <c r="G60" s="10"/>
      <c r="H60" s="10"/>
      <c r="Q60" s="24"/>
    </row>
    <row r="61" spans="1:17" ht="18.75">
      <c r="A61" s="179" t="s">
        <v>942</v>
      </c>
      <c r="B61" s="179"/>
      <c r="C61" s="183">
        <v>91024.76</v>
      </c>
      <c r="D61" s="183"/>
      <c r="E61" s="6" t="s">
        <v>18</v>
      </c>
      <c r="F61" s="10"/>
      <c r="G61" s="10"/>
      <c r="H61" s="10"/>
      <c r="Q61" s="24"/>
    </row>
    <row r="62" spans="1:8" ht="18.75">
      <c r="A62" s="180" t="s">
        <v>17</v>
      </c>
      <c r="B62" s="180"/>
      <c r="C62" s="180"/>
      <c r="D62" s="180"/>
      <c r="E62" s="180"/>
      <c r="F62" s="180"/>
      <c r="G62" s="180"/>
      <c r="H62" s="10"/>
    </row>
    <row r="63" spans="1:8" ht="18.75" customHeight="1" hidden="1">
      <c r="A63" s="181" t="s">
        <v>35</v>
      </c>
      <c r="B63" s="181"/>
      <c r="C63" s="5" t="e">
        <f>C60-#REF!</f>
        <v>#REF!</v>
      </c>
      <c r="D63" s="10" t="s">
        <v>18</v>
      </c>
      <c r="E63" s="10"/>
      <c r="F63" s="10"/>
      <c r="G63" s="10"/>
      <c r="H63" s="10"/>
    </row>
    <row r="64" spans="1:8" ht="18.75" customHeight="1" hidden="1">
      <c r="A64" s="181" t="s">
        <v>36</v>
      </c>
      <c r="B64" s="181"/>
      <c r="C64" s="85">
        <f>E57-F57</f>
        <v>105026.19999999995</v>
      </c>
      <c r="D64" s="90" t="str">
        <f>D63</f>
        <v>рублей</v>
      </c>
      <c r="H64" s="28"/>
    </row>
  </sheetData>
  <sheetProtection/>
  <mergeCells count="18">
    <mergeCell ref="A1:G2"/>
    <mergeCell ref="A3:G3"/>
    <mergeCell ref="A4:H5"/>
    <mergeCell ref="F9:F11"/>
    <mergeCell ref="G9:G11"/>
    <mergeCell ref="J9:Q12"/>
    <mergeCell ref="R9:X12"/>
    <mergeCell ref="A9:A11"/>
    <mergeCell ref="B9:B11"/>
    <mergeCell ref="C9:D10"/>
    <mergeCell ref="E9:E11"/>
    <mergeCell ref="C60:D60"/>
    <mergeCell ref="C61:D61"/>
    <mergeCell ref="A62:G62"/>
    <mergeCell ref="A63:B63"/>
    <mergeCell ref="A64:B64"/>
    <mergeCell ref="A60:B60"/>
    <mergeCell ref="A61:B6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1" r:id="rId1"/>
  <rowBreaks count="1" manualBreakCount="1">
    <brk id="49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I64"/>
  <sheetViews>
    <sheetView view="pageBreakPreview" zoomScale="75" zoomScaleSheetLayoutView="75" zoomScalePageLayoutView="0" workbookViewId="0" topLeftCell="A37">
      <selection activeCell="AJ52" sqref="AJ52"/>
    </sheetView>
  </sheetViews>
  <sheetFormatPr defaultColWidth="9.00390625" defaultRowHeight="12.75"/>
  <cols>
    <col min="1" max="1" width="9.25390625" style="0" bestFit="1" customWidth="1"/>
    <col min="2" max="2" width="72.25390625" style="0" customWidth="1"/>
    <col min="3" max="3" width="12.625" style="0" customWidth="1"/>
    <col min="4" max="4" width="11.00390625" style="0" customWidth="1"/>
    <col min="5" max="5" width="14.75390625" style="0" customWidth="1"/>
    <col min="6" max="6" width="15.625" style="0" bestFit="1" customWidth="1"/>
    <col min="7" max="7" width="12.875" style="0" bestFit="1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1" width="9.25390625" style="0" hidden="1" customWidth="1"/>
    <col min="22" max="26" width="11.00390625" style="0" hidden="1" customWidth="1"/>
    <col min="27" max="30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39" customHeight="1">
      <c r="A3" s="182" t="s">
        <v>56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92">
        <v>4400.6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69" customHeight="1">
      <c r="A9" s="211" t="s">
        <v>8</v>
      </c>
      <c r="B9" s="211" t="s">
        <v>6</v>
      </c>
      <c r="C9" s="214" t="s">
        <v>32</v>
      </c>
      <c r="D9" s="215"/>
      <c r="E9" s="218" t="s">
        <v>99</v>
      </c>
      <c r="F9" s="222" t="s">
        <v>74</v>
      </c>
      <c r="G9" s="218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52.5" customHeight="1">
      <c r="A10" s="212"/>
      <c r="B10" s="212"/>
      <c r="C10" s="216"/>
      <c r="D10" s="217"/>
      <c r="E10" s="219"/>
      <c r="F10" s="223"/>
      <c r="G10" s="219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102.75" customHeight="1">
      <c r="A11" s="213"/>
      <c r="B11" s="213"/>
      <c r="C11" s="124" t="s">
        <v>107</v>
      </c>
      <c r="D11" s="124" t="s">
        <v>106</v>
      </c>
      <c r="E11" s="220"/>
      <c r="F11" s="224"/>
      <c r="G11" s="220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37.5">
      <c r="A12" s="13" t="s">
        <v>12</v>
      </c>
      <c r="B12" s="14" t="s">
        <v>20</v>
      </c>
      <c r="C12" s="95"/>
      <c r="D12" s="95"/>
      <c r="E12" s="13"/>
      <c r="F12" s="13"/>
      <c r="G12" s="1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3" ht="18.75">
      <c r="A13" s="15" t="s">
        <v>13</v>
      </c>
      <c r="B13" s="14" t="s">
        <v>10</v>
      </c>
      <c r="C13" s="34">
        <v>1.09</v>
      </c>
      <c r="D13" s="34">
        <v>1.14</v>
      </c>
      <c r="E13" s="32">
        <f aca="true" t="shared" si="0" ref="E13:E18">AE13*AF13*6</f>
        <v>58880.028000000006</v>
      </c>
      <c r="F13" s="16">
        <f>E13</f>
        <v>58880.028000000006</v>
      </c>
      <c r="G13" s="16">
        <f aca="true" t="shared" si="1" ref="G13:G18">AG13*12*AE13</f>
        <v>60200.208000000006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4400.6</v>
      </c>
      <c r="K13">
        <v>6</v>
      </c>
      <c r="L13">
        <v>2</v>
      </c>
      <c r="M13">
        <v>4</v>
      </c>
      <c r="N13" s="20">
        <f aca="true" t="shared" si="4" ref="N13:N18">C13*J13*K13</f>
        <v>28779.924000000003</v>
      </c>
      <c r="O13" s="20" t="e">
        <f>J13*#REF!*L13</f>
        <v>#REF!</v>
      </c>
      <c r="P13" s="20">
        <f aca="true" t="shared" si="5" ref="P13:P18">D13*J13*M13</f>
        <v>20066.736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27723.780000000006</v>
      </c>
      <c r="W13">
        <f aca="true" t="shared" si="8" ref="W13:W18">U13*S13*J13</f>
        <v>28779.924000000006</v>
      </c>
      <c r="X13">
        <f aca="true" t="shared" si="9" ref="X13:X18">SUM(V13:W13)</f>
        <v>56503.70400000001</v>
      </c>
      <c r="AE13" s="69">
        <f>C7</f>
        <v>4400.6</v>
      </c>
      <c r="AF13" s="22">
        <f aca="true" t="shared" si="10" ref="AF13:AF18">C13+D13</f>
        <v>2.23</v>
      </c>
      <c r="AG13" s="34">
        <v>1.14</v>
      </c>
    </row>
    <row r="14" spans="1:33" ht="18.75">
      <c r="A14" s="15" t="s">
        <v>14</v>
      </c>
      <c r="B14" s="14" t="s">
        <v>15</v>
      </c>
      <c r="C14" s="34">
        <v>1.39</v>
      </c>
      <c r="D14" s="34">
        <v>1.46</v>
      </c>
      <c r="E14" s="32">
        <f t="shared" si="0"/>
        <v>75250.26</v>
      </c>
      <c r="F14" s="16">
        <f>E14</f>
        <v>75250.26</v>
      </c>
      <c r="G14" s="16">
        <f t="shared" si="1"/>
        <v>77098.512</v>
      </c>
      <c r="H14" s="17">
        <f t="shared" si="2"/>
        <v>1.4594110115189</v>
      </c>
      <c r="I14" s="18">
        <f t="shared" si="3"/>
        <v>1.5572983354607999</v>
      </c>
      <c r="J14" s="19">
        <f>J13</f>
        <v>4400.6</v>
      </c>
      <c r="K14">
        <v>6</v>
      </c>
      <c r="L14">
        <v>2</v>
      </c>
      <c r="M14">
        <v>4</v>
      </c>
      <c r="N14" s="20">
        <f t="shared" si="4"/>
        <v>36701.004</v>
      </c>
      <c r="O14" s="20" t="e">
        <f>J14*#REF!*L14</f>
        <v>#REF!</v>
      </c>
      <c r="P14" s="20">
        <f t="shared" si="5"/>
        <v>25699.504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35116.788</v>
      </c>
      <c r="W14">
        <f t="shared" si="8"/>
        <v>36701.004</v>
      </c>
      <c r="X14">
        <f t="shared" si="9"/>
        <v>71817.792</v>
      </c>
      <c r="AE14">
        <f>AE13</f>
        <v>4400.6</v>
      </c>
      <c r="AF14" s="22">
        <f t="shared" si="10"/>
        <v>2.8499999999999996</v>
      </c>
      <c r="AG14" s="34">
        <v>1.46</v>
      </c>
    </row>
    <row r="15" spans="1:33" ht="18.75">
      <c r="A15" s="15" t="s">
        <v>16</v>
      </c>
      <c r="B15" s="14" t="s">
        <v>7</v>
      </c>
      <c r="C15" s="34"/>
      <c r="D15" s="34"/>
      <c r="E15" s="32"/>
      <c r="F15" s="16"/>
      <c r="G15" s="16"/>
      <c r="H15" s="17">
        <f t="shared" si="2"/>
        <v>0</v>
      </c>
      <c r="I15" s="18">
        <f t="shared" si="3"/>
        <v>0</v>
      </c>
      <c r="J15" s="19">
        <f>J14</f>
        <v>4400.6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3432.4680000000008</v>
      </c>
      <c r="W15">
        <f t="shared" si="8"/>
        <v>0</v>
      </c>
      <c r="X15">
        <f t="shared" si="9"/>
        <v>3432.4680000000008</v>
      </c>
      <c r="AE15">
        <f>AE14</f>
        <v>4400.6</v>
      </c>
      <c r="AF15" s="22">
        <f t="shared" si="10"/>
        <v>0</v>
      </c>
      <c r="AG15" s="34">
        <v>0</v>
      </c>
    </row>
    <row r="16" spans="1:33" ht="18.75">
      <c r="A16" s="15" t="s">
        <v>21</v>
      </c>
      <c r="B16" s="14" t="s">
        <v>11</v>
      </c>
      <c r="C16" s="34">
        <v>0.82</v>
      </c>
      <c r="D16" s="34">
        <v>0.58</v>
      </c>
      <c r="E16" s="32">
        <f t="shared" si="0"/>
        <v>36965.04</v>
      </c>
      <c r="F16" s="16">
        <f>E16</f>
        <v>36965.04</v>
      </c>
      <c r="G16" s="16">
        <f t="shared" si="1"/>
        <v>30628.176</v>
      </c>
      <c r="H16" s="17">
        <f t="shared" si="2"/>
        <v>0.8609475031982</v>
      </c>
      <c r="I16" s="18">
        <f t="shared" si="3"/>
        <v>0.9186939820703999</v>
      </c>
      <c r="J16" s="19">
        <f>J15</f>
        <v>4400.6</v>
      </c>
      <c r="K16">
        <v>6</v>
      </c>
      <c r="L16">
        <v>2</v>
      </c>
      <c r="M16">
        <v>4</v>
      </c>
      <c r="N16" s="20">
        <f t="shared" si="4"/>
        <v>21650.952</v>
      </c>
      <c r="O16" s="20" t="e">
        <f>J16*#REF!*L16</f>
        <v>#REF!</v>
      </c>
      <c r="P16" s="20">
        <f t="shared" si="5"/>
        <v>10209.392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20858.844000000005</v>
      </c>
      <c r="W16">
        <f t="shared" si="8"/>
        <v>21650.952</v>
      </c>
      <c r="X16">
        <f t="shared" si="9"/>
        <v>42509.796</v>
      </c>
      <c r="AE16">
        <f>AE15</f>
        <v>4400.6</v>
      </c>
      <c r="AF16" s="22">
        <f t="shared" si="10"/>
        <v>1.4</v>
      </c>
      <c r="AG16" s="34">
        <v>0.58</v>
      </c>
    </row>
    <row r="17" spans="1:33" ht="18.75">
      <c r="A17" s="15" t="s">
        <v>22</v>
      </c>
      <c r="B17" s="14" t="s">
        <v>19</v>
      </c>
      <c r="C17" s="34">
        <v>1.24</v>
      </c>
      <c r="D17" s="34">
        <v>1.24</v>
      </c>
      <c r="E17" s="32">
        <f t="shared" si="0"/>
        <v>65480.92800000001</v>
      </c>
      <c r="F17" s="16">
        <f>E17</f>
        <v>65480.92800000001</v>
      </c>
      <c r="G17" s="16">
        <f t="shared" si="1"/>
        <v>65480.928</v>
      </c>
      <c r="H17" s="17">
        <f t="shared" si="2"/>
        <v>1.3019206145924</v>
      </c>
      <c r="I17" s="18">
        <f t="shared" si="3"/>
        <v>1.3892445582528</v>
      </c>
      <c r="J17" s="19">
        <f>J16</f>
        <v>4400.6</v>
      </c>
      <c r="K17">
        <v>6</v>
      </c>
      <c r="L17">
        <v>2</v>
      </c>
      <c r="M17">
        <v>4</v>
      </c>
      <c r="N17" s="20">
        <f t="shared" si="4"/>
        <v>32740.464000000004</v>
      </c>
      <c r="O17" s="20" t="e">
        <f>J17*#REF!*L17</f>
        <v>#REF!</v>
      </c>
      <c r="P17" s="20">
        <f t="shared" si="5"/>
        <v>21826.976000000002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32740.464000000004</v>
      </c>
      <c r="W17">
        <f t="shared" si="8"/>
        <v>32740.464</v>
      </c>
      <c r="X17">
        <f t="shared" si="9"/>
        <v>65480.928</v>
      </c>
      <c r="AE17">
        <f>AE16</f>
        <v>4400.6</v>
      </c>
      <c r="AF17" s="22">
        <f t="shared" si="10"/>
        <v>2.48</v>
      </c>
      <c r="AG17" s="34">
        <v>1.24</v>
      </c>
    </row>
    <row r="18" spans="1:33" ht="56.25">
      <c r="A18" s="15" t="s">
        <v>23</v>
      </c>
      <c r="B18" s="14" t="s">
        <v>24</v>
      </c>
      <c r="C18" s="34">
        <v>4.47</v>
      </c>
      <c r="D18" s="34">
        <v>5.18</v>
      </c>
      <c r="E18" s="32">
        <f t="shared" si="0"/>
        <v>254794.74</v>
      </c>
      <c r="F18" s="101">
        <f>F20+F21+F23+F24+F26+F28+F29+F31+F32+F33+F35+F36+F37+F39+F41+F42+F43+F45+F47+F48+F50+F51+F53+F54+F55</f>
        <v>203460.7</v>
      </c>
      <c r="G18" s="16">
        <f t="shared" si="1"/>
        <v>273541.29600000003</v>
      </c>
      <c r="H18" s="17">
        <f t="shared" si="2"/>
        <v>4.6932138284097</v>
      </c>
      <c r="I18" s="18">
        <f t="shared" si="3"/>
        <v>5.008002560798399</v>
      </c>
      <c r="J18" s="19">
        <f>J17</f>
        <v>4400.6</v>
      </c>
      <c r="K18">
        <v>6</v>
      </c>
      <c r="L18">
        <v>2</v>
      </c>
      <c r="M18">
        <v>4</v>
      </c>
      <c r="N18" s="20">
        <f t="shared" si="4"/>
        <v>118024.092</v>
      </c>
      <c r="O18" s="20" t="e">
        <f>J18*#REF!*L18</f>
        <v>#REF!</v>
      </c>
      <c r="P18" s="20">
        <f t="shared" si="5"/>
        <v>91180.432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111159.15600000002</v>
      </c>
      <c r="W18">
        <f t="shared" si="8"/>
        <v>121984.63200000001</v>
      </c>
      <c r="X18">
        <f t="shared" si="9"/>
        <v>233143.78800000003</v>
      </c>
      <c r="AE18">
        <f>AE17</f>
        <v>4400.6</v>
      </c>
      <c r="AF18" s="22">
        <f t="shared" si="10"/>
        <v>9.649999999999999</v>
      </c>
      <c r="AG18" s="34">
        <v>5.18</v>
      </c>
    </row>
    <row r="19" spans="1:19" ht="18.75">
      <c r="A19" s="15"/>
      <c r="B19" s="34" t="s">
        <v>75</v>
      </c>
      <c r="C19" s="79"/>
      <c r="D19" s="79"/>
      <c r="E19" s="16"/>
      <c r="F19" s="101"/>
      <c r="G19" s="16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18.75">
      <c r="A20" s="15"/>
      <c r="B20" s="14" t="s">
        <v>533</v>
      </c>
      <c r="C20" s="79"/>
      <c r="D20" s="79"/>
      <c r="E20" s="16"/>
      <c r="F20" s="102">
        <v>1545.29</v>
      </c>
      <c r="G20" s="16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56.25">
      <c r="A21" s="15"/>
      <c r="B21" s="14" t="s">
        <v>534</v>
      </c>
      <c r="C21" s="79"/>
      <c r="D21" s="79"/>
      <c r="E21" s="16"/>
      <c r="F21" s="108">
        <v>12002.53</v>
      </c>
      <c r="G21" s="16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18.75">
      <c r="A22" s="15"/>
      <c r="B22" s="33" t="s">
        <v>88</v>
      </c>
      <c r="C22" s="79"/>
      <c r="D22" s="79"/>
      <c r="E22" s="16"/>
      <c r="F22" s="108"/>
      <c r="G22" s="16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15"/>
      <c r="B23" s="14" t="s">
        <v>535</v>
      </c>
      <c r="C23" s="79"/>
      <c r="D23" s="79"/>
      <c r="E23" s="16"/>
      <c r="F23" s="108">
        <v>2229.57</v>
      </c>
      <c r="G23" s="16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15"/>
      <c r="B24" s="14" t="s">
        <v>536</v>
      </c>
      <c r="C24" s="79"/>
      <c r="D24" s="79"/>
      <c r="E24" s="16"/>
      <c r="F24" s="108">
        <v>369.28</v>
      </c>
      <c r="G24" s="16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15"/>
      <c r="B25" s="33" t="s">
        <v>89</v>
      </c>
      <c r="C25" s="79"/>
      <c r="D25" s="79"/>
      <c r="E25" s="16"/>
      <c r="F25" s="108"/>
      <c r="G25" s="16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18.75">
      <c r="A26" s="15"/>
      <c r="B26" s="14" t="s">
        <v>537</v>
      </c>
      <c r="C26" s="79"/>
      <c r="D26" s="79"/>
      <c r="E26" s="16"/>
      <c r="F26" s="108">
        <v>11599.38</v>
      </c>
      <c r="G26" s="16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15"/>
      <c r="B27" s="33" t="s">
        <v>90</v>
      </c>
      <c r="C27" s="79"/>
      <c r="D27" s="79"/>
      <c r="E27" s="16"/>
      <c r="F27" s="108"/>
      <c r="G27" s="16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15"/>
      <c r="B28" s="14" t="s">
        <v>332</v>
      </c>
      <c r="C28" s="79"/>
      <c r="D28" s="79"/>
      <c r="E28" s="16"/>
      <c r="F28" s="108">
        <v>345.49</v>
      </c>
      <c r="G28" s="16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15"/>
      <c r="B29" s="14" t="s">
        <v>538</v>
      </c>
      <c r="C29" s="79"/>
      <c r="D29" s="79"/>
      <c r="E29" s="16"/>
      <c r="F29" s="108">
        <v>436.03</v>
      </c>
      <c r="G29" s="16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18.75">
      <c r="A30" s="15"/>
      <c r="B30" s="33" t="s">
        <v>539</v>
      </c>
      <c r="C30" s="79"/>
      <c r="D30" s="79"/>
      <c r="E30" s="16"/>
      <c r="F30" s="108"/>
      <c r="G30" s="16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15"/>
      <c r="B31" s="14" t="s">
        <v>540</v>
      </c>
      <c r="C31" s="79"/>
      <c r="D31" s="79"/>
      <c r="E31" s="16"/>
      <c r="F31" s="108">
        <v>6232.5</v>
      </c>
      <c r="G31" s="16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18.75">
      <c r="A32" s="15"/>
      <c r="B32" s="14" t="s">
        <v>541</v>
      </c>
      <c r="C32" s="79"/>
      <c r="D32" s="79"/>
      <c r="E32" s="16"/>
      <c r="F32" s="108">
        <v>357.02</v>
      </c>
      <c r="G32" s="16"/>
      <c r="H32" s="17"/>
      <c r="I32" s="18"/>
      <c r="J32" s="19"/>
      <c r="N32" s="20"/>
      <c r="O32" s="20"/>
      <c r="P32" s="20"/>
      <c r="Q32" s="21"/>
      <c r="R32" s="22"/>
      <c r="S32" s="22"/>
    </row>
    <row r="33" spans="1:19" ht="18.75">
      <c r="A33" s="15"/>
      <c r="B33" s="14" t="s">
        <v>284</v>
      </c>
      <c r="C33" s="79"/>
      <c r="D33" s="79"/>
      <c r="E33" s="16"/>
      <c r="F33" s="108">
        <v>345.49</v>
      </c>
      <c r="G33" s="16"/>
      <c r="H33" s="17"/>
      <c r="I33" s="18"/>
      <c r="J33" s="19"/>
      <c r="N33" s="20"/>
      <c r="O33" s="20"/>
      <c r="P33" s="20"/>
      <c r="Q33" s="21"/>
      <c r="R33" s="22"/>
      <c r="S33" s="22"/>
    </row>
    <row r="34" spans="1:19" ht="18.75">
      <c r="A34" s="15"/>
      <c r="B34" s="33" t="s">
        <v>124</v>
      </c>
      <c r="C34" s="79"/>
      <c r="D34" s="79"/>
      <c r="E34" s="16"/>
      <c r="F34" s="108"/>
      <c r="G34" s="16"/>
      <c r="H34" s="17"/>
      <c r="I34" s="18"/>
      <c r="J34" s="19"/>
      <c r="N34" s="20"/>
      <c r="O34" s="20"/>
      <c r="P34" s="20"/>
      <c r="Q34" s="21"/>
      <c r="R34" s="22"/>
      <c r="S34" s="22"/>
    </row>
    <row r="35" spans="1:19" ht="37.5">
      <c r="A35" s="15"/>
      <c r="B35" s="14" t="s">
        <v>542</v>
      </c>
      <c r="C35" s="79"/>
      <c r="D35" s="79"/>
      <c r="E35" s="16"/>
      <c r="F35" s="108">
        <v>9784.8</v>
      </c>
      <c r="G35" s="16"/>
      <c r="H35" s="17"/>
      <c r="I35" s="18"/>
      <c r="J35" s="19"/>
      <c r="N35" s="20"/>
      <c r="O35" s="20"/>
      <c r="P35" s="20"/>
      <c r="Q35" s="21"/>
      <c r="R35" s="22"/>
      <c r="S35" s="22"/>
    </row>
    <row r="36" spans="1:19" ht="18.75">
      <c r="A36" s="15"/>
      <c r="B36" s="14" t="s">
        <v>543</v>
      </c>
      <c r="C36" s="79"/>
      <c r="D36" s="79"/>
      <c r="E36" s="16"/>
      <c r="F36" s="108">
        <v>894.63</v>
      </c>
      <c r="G36" s="16"/>
      <c r="H36" s="17"/>
      <c r="I36" s="18"/>
      <c r="J36" s="19"/>
      <c r="N36" s="20"/>
      <c r="O36" s="20"/>
      <c r="P36" s="20"/>
      <c r="Q36" s="21"/>
      <c r="R36" s="22"/>
      <c r="S36" s="22"/>
    </row>
    <row r="37" spans="1:19" ht="18.75">
      <c r="A37" s="15"/>
      <c r="B37" s="14" t="s">
        <v>148</v>
      </c>
      <c r="C37" s="79"/>
      <c r="D37" s="79"/>
      <c r="E37" s="16"/>
      <c r="F37" s="108">
        <v>289.93</v>
      </c>
      <c r="G37" s="16"/>
      <c r="H37" s="17"/>
      <c r="I37" s="18"/>
      <c r="J37" s="19"/>
      <c r="N37" s="20"/>
      <c r="O37" s="20"/>
      <c r="P37" s="20"/>
      <c r="Q37" s="21"/>
      <c r="R37" s="22"/>
      <c r="S37" s="22"/>
    </row>
    <row r="38" spans="1:24" ht="18.75">
      <c r="A38" s="13"/>
      <c r="B38" s="33" t="s">
        <v>93</v>
      </c>
      <c r="C38" s="81"/>
      <c r="D38" s="81"/>
      <c r="E38" s="23"/>
      <c r="F38" s="108"/>
      <c r="G38" s="23"/>
      <c r="H38" s="17"/>
      <c r="I38" s="18"/>
      <c r="J38" s="19"/>
      <c r="K38">
        <v>6</v>
      </c>
      <c r="L38">
        <v>2</v>
      </c>
      <c r="M38">
        <v>4</v>
      </c>
      <c r="N38" s="20">
        <f>C38*J38*K38</f>
        <v>0</v>
      </c>
      <c r="O38" s="20" t="e">
        <f>J38*#REF!*L38</f>
        <v>#REF!</v>
      </c>
      <c r="P38" s="20">
        <f>D38*J38*M38</f>
        <v>0</v>
      </c>
      <c r="Q38" s="24"/>
      <c r="R38" s="22"/>
      <c r="V38">
        <f>J38*R38*U38</f>
        <v>0</v>
      </c>
      <c r="W38">
        <f>U38*S38*J38</f>
        <v>0</v>
      </c>
      <c r="X38">
        <f>SUM(V38:W38)</f>
        <v>0</v>
      </c>
    </row>
    <row r="39" spans="1:24" ht="18.75" customHeight="1">
      <c r="A39" s="15"/>
      <c r="B39" s="14" t="s">
        <v>102</v>
      </c>
      <c r="C39" s="81"/>
      <c r="D39" s="81"/>
      <c r="E39" s="23"/>
      <c r="F39" s="108">
        <v>213.29</v>
      </c>
      <c r="G39" s="23"/>
      <c r="H39" s="17"/>
      <c r="I39" s="18"/>
      <c r="J39" s="19"/>
      <c r="K39">
        <v>6</v>
      </c>
      <c r="L39">
        <v>2</v>
      </c>
      <c r="M39">
        <v>4</v>
      </c>
      <c r="N39" s="20">
        <f>C39*J39*K39</f>
        <v>0</v>
      </c>
      <c r="O39" s="20" t="e">
        <f>J39*#REF!*L39</f>
        <v>#REF!</v>
      </c>
      <c r="P39" s="20">
        <f>D39*J39*M39</f>
        <v>0</v>
      </c>
      <c r="Q39" s="24"/>
      <c r="R39" s="22"/>
      <c r="V39">
        <f>J39*R39*U39</f>
        <v>0</v>
      </c>
      <c r="W39">
        <f>U39*S39*J39</f>
        <v>0</v>
      </c>
      <c r="X39">
        <f>SUM(V39:W39)</f>
        <v>0</v>
      </c>
    </row>
    <row r="40" spans="1:18" ht="18.75">
      <c r="A40" s="15"/>
      <c r="B40" s="33" t="s">
        <v>94</v>
      </c>
      <c r="C40" s="81"/>
      <c r="D40" s="81"/>
      <c r="E40" s="23"/>
      <c r="F40" s="108"/>
      <c r="G40" s="23"/>
      <c r="H40" s="17"/>
      <c r="I40" s="18"/>
      <c r="J40" s="19"/>
      <c r="N40" s="20"/>
      <c r="O40" s="20"/>
      <c r="P40" s="20"/>
      <c r="Q40" s="24"/>
      <c r="R40" s="22"/>
    </row>
    <row r="41" spans="1:18" ht="37.5">
      <c r="A41" s="15"/>
      <c r="B41" s="14" t="s">
        <v>544</v>
      </c>
      <c r="C41" s="81"/>
      <c r="D41" s="81"/>
      <c r="E41" s="23"/>
      <c r="F41" s="108">
        <v>119784.74</v>
      </c>
      <c r="G41" s="23"/>
      <c r="H41" s="17"/>
      <c r="I41" s="18"/>
      <c r="J41" s="19"/>
      <c r="N41" s="20"/>
      <c r="O41" s="20"/>
      <c r="P41" s="20"/>
      <c r="Q41" s="24"/>
      <c r="R41" s="22"/>
    </row>
    <row r="42" spans="1:18" ht="18.75">
      <c r="A42" s="15"/>
      <c r="B42" s="14" t="s">
        <v>545</v>
      </c>
      <c r="C42" s="81"/>
      <c r="D42" s="81"/>
      <c r="E42" s="23"/>
      <c r="F42" s="108">
        <v>3699.97</v>
      </c>
      <c r="G42" s="23"/>
      <c r="H42" s="17"/>
      <c r="I42" s="18"/>
      <c r="J42" s="19"/>
      <c r="N42" s="20"/>
      <c r="O42" s="20"/>
      <c r="P42" s="20"/>
      <c r="Q42" s="24"/>
      <c r="R42" s="22"/>
    </row>
    <row r="43" spans="1:18" ht="37.5">
      <c r="A43" s="15"/>
      <c r="B43" s="14" t="s">
        <v>546</v>
      </c>
      <c r="C43" s="81"/>
      <c r="D43" s="81"/>
      <c r="E43" s="23"/>
      <c r="F43" s="108">
        <v>1968.25</v>
      </c>
      <c r="G43" s="23"/>
      <c r="H43" s="17"/>
      <c r="I43" s="18"/>
      <c r="J43" s="19"/>
      <c r="N43" s="20"/>
      <c r="O43" s="20"/>
      <c r="P43" s="20"/>
      <c r="Q43" s="24"/>
      <c r="R43" s="22"/>
    </row>
    <row r="44" spans="1:18" ht="18.75">
      <c r="A44" s="15"/>
      <c r="B44" s="33" t="s">
        <v>98</v>
      </c>
      <c r="C44" s="81"/>
      <c r="D44" s="81"/>
      <c r="E44" s="23"/>
      <c r="F44" s="108"/>
      <c r="G44" s="23"/>
      <c r="H44" s="17"/>
      <c r="I44" s="18"/>
      <c r="J44" s="19"/>
      <c r="N44" s="20"/>
      <c r="O44" s="20"/>
      <c r="P44" s="20"/>
      <c r="Q44" s="24"/>
      <c r="R44" s="22"/>
    </row>
    <row r="45" spans="1:18" ht="37.5">
      <c r="A45" s="15"/>
      <c r="B45" s="14" t="s">
        <v>547</v>
      </c>
      <c r="C45" s="81"/>
      <c r="D45" s="81"/>
      <c r="E45" s="23"/>
      <c r="F45" s="108">
        <v>6366.14</v>
      </c>
      <c r="G45" s="23"/>
      <c r="H45" s="17"/>
      <c r="I45" s="18"/>
      <c r="J45" s="19"/>
      <c r="N45" s="20"/>
      <c r="O45" s="20"/>
      <c r="P45" s="20"/>
      <c r="Q45" s="24"/>
      <c r="R45" s="22"/>
    </row>
    <row r="46" spans="1:18" ht="18.75">
      <c r="A46" s="15"/>
      <c r="B46" s="33" t="s">
        <v>95</v>
      </c>
      <c r="C46" s="81"/>
      <c r="D46" s="81"/>
      <c r="E46" s="23"/>
      <c r="F46" s="108"/>
      <c r="G46" s="23"/>
      <c r="H46" s="17"/>
      <c r="I46" s="18"/>
      <c r="J46" s="19"/>
      <c r="N46" s="20"/>
      <c r="O46" s="20"/>
      <c r="P46" s="20"/>
      <c r="Q46" s="24"/>
      <c r="R46" s="22"/>
    </row>
    <row r="47" spans="1:18" ht="37.5">
      <c r="A47" s="15"/>
      <c r="B47" s="14" t="s">
        <v>548</v>
      </c>
      <c r="C47" s="81"/>
      <c r="D47" s="81"/>
      <c r="E47" s="23"/>
      <c r="F47" s="108">
        <v>9762.38</v>
      </c>
      <c r="G47" s="23"/>
      <c r="H47" s="17"/>
      <c r="I47" s="18"/>
      <c r="J47" s="19"/>
      <c r="N47" s="20"/>
      <c r="O47" s="20"/>
      <c r="P47" s="20"/>
      <c r="Q47" s="24"/>
      <c r="R47" s="22"/>
    </row>
    <row r="48" spans="1:18" ht="18.75">
      <c r="A48" s="15"/>
      <c r="B48" s="14" t="s">
        <v>549</v>
      </c>
      <c r="C48" s="81"/>
      <c r="D48" s="81"/>
      <c r="E48" s="23"/>
      <c r="F48" s="108">
        <v>431.25</v>
      </c>
      <c r="G48" s="23"/>
      <c r="H48" s="17"/>
      <c r="I48" s="18"/>
      <c r="J48" s="19"/>
      <c r="N48" s="20"/>
      <c r="O48" s="20"/>
      <c r="P48" s="20"/>
      <c r="Q48" s="24"/>
      <c r="R48" s="22"/>
    </row>
    <row r="49" spans="1:18" ht="18.75">
      <c r="A49" s="15"/>
      <c r="B49" s="33" t="s">
        <v>96</v>
      </c>
      <c r="C49" s="81"/>
      <c r="D49" s="81"/>
      <c r="E49" s="23"/>
      <c r="F49" s="108"/>
      <c r="G49" s="23"/>
      <c r="H49" s="17"/>
      <c r="I49" s="18"/>
      <c r="J49" s="19"/>
      <c r="N49" s="20"/>
      <c r="O49" s="20"/>
      <c r="P49" s="20"/>
      <c r="Q49" s="24"/>
      <c r="R49" s="22"/>
    </row>
    <row r="50" spans="1:18" ht="37.5">
      <c r="A50" s="15"/>
      <c r="B50" s="14" t="s">
        <v>550</v>
      </c>
      <c r="C50" s="81"/>
      <c r="D50" s="81"/>
      <c r="E50" s="23"/>
      <c r="F50" s="108">
        <v>7470.47</v>
      </c>
      <c r="G50" s="23"/>
      <c r="H50" s="17"/>
      <c r="I50" s="18"/>
      <c r="J50" s="19"/>
      <c r="N50" s="20"/>
      <c r="O50" s="20"/>
      <c r="P50" s="20"/>
      <c r="Q50" s="24"/>
      <c r="R50" s="22"/>
    </row>
    <row r="51" spans="1:18" ht="18.75">
      <c r="A51" s="15"/>
      <c r="B51" s="14" t="s">
        <v>551</v>
      </c>
      <c r="C51" s="81"/>
      <c r="D51" s="81"/>
      <c r="E51" s="23"/>
      <c r="F51" s="108">
        <v>378.2</v>
      </c>
      <c r="G51" s="23"/>
      <c r="H51" s="17"/>
      <c r="I51" s="18"/>
      <c r="J51" s="19"/>
      <c r="N51" s="20"/>
      <c r="O51" s="20"/>
      <c r="P51" s="20"/>
      <c r="Q51" s="24"/>
      <c r="R51" s="22"/>
    </row>
    <row r="52" spans="1:18" ht="18.75">
      <c r="A52" s="15"/>
      <c r="B52" s="33" t="s">
        <v>97</v>
      </c>
      <c r="C52" s="81"/>
      <c r="D52" s="81"/>
      <c r="E52" s="23"/>
      <c r="F52" s="108"/>
      <c r="G52" s="23"/>
      <c r="H52" s="17"/>
      <c r="I52" s="18"/>
      <c r="J52" s="19"/>
      <c r="N52" s="20"/>
      <c r="O52" s="20"/>
      <c r="P52" s="20"/>
      <c r="Q52" s="24"/>
      <c r="R52" s="22"/>
    </row>
    <row r="53" spans="1:18" ht="56.25">
      <c r="A53" s="15"/>
      <c r="B53" s="14" t="s">
        <v>552</v>
      </c>
      <c r="C53" s="81"/>
      <c r="D53" s="81"/>
      <c r="E53" s="23"/>
      <c r="F53" s="108">
        <v>6537.96</v>
      </c>
      <c r="G53" s="23"/>
      <c r="H53" s="17"/>
      <c r="I53" s="18"/>
      <c r="J53" s="19"/>
      <c r="N53" s="20"/>
      <c r="O53" s="20"/>
      <c r="P53" s="20"/>
      <c r="Q53" s="24"/>
      <c r="R53" s="22"/>
    </row>
    <row r="54" spans="1:18" ht="18.75">
      <c r="A54" s="15"/>
      <c r="B54" s="14" t="s">
        <v>553</v>
      </c>
      <c r="C54" s="81"/>
      <c r="D54" s="81"/>
      <c r="E54" s="23"/>
      <c r="F54" s="108">
        <v>312.34</v>
      </c>
      <c r="G54" s="23"/>
      <c r="H54" s="17"/>
      <c r="I54" s="18"/>
      <c r="J54" s="19"/>
      <c r="N54" s="20"/>
      <c r="O54" s="20"/>
      <c r="P54" s="20"/>
      <c r="Q54" s="24"/>
      <c r="R54" s="22"/>
    </row>
    <row r="55" spans="1:18" ht="18.75">
      <c r="A55" s="15"/>
      <c r="B55" s="14" t="s">
        <v>30</v>
      </c>
      <c r="C55" s="81"/>
      <c r="D55" s="81"/>
      <c r="E55" s="23"/>
      <c r="F55" s="108">
        <v>103.77</v>
      </c>
      <c r="G55" s="23"/>
      <c r="H55" s="17"/>
      <c r="I55" s="18"/>
      <c r="J55" s="19"/>
      <c r="N55" s="20"/>
      <c r="O55" s="20"/>
      <c r="P55" s="20"/>
      <c r="Q55" s="24"/>
      <c r="R55" s="22"/>
    </row>
    <row r="56" spans="1:18" ht="37.5">
      <c r="A56" s="15"/>
      <c r="B56" s="14" t="s">
        <v>943</v>
      </c>
      <c r="C56" s="81"/>
      <c r="D56" s="81"/>
      <c r="E56" s="264">
        <v>-1527.29</v>
      </c>
      <c r="F56" s="101">
        <f>E56</f>
        <v>-1527.29</v>
      </c>
      <c r="G56" s="23"/>
      <c r="H56" s="17"/>
      <c r="I56" s="18"/>
      <c r="J56" s="19"/>
      <c r="N56" s="20"/>
      <c r="O56" s="20"/>
      <c r="P56" s="20"/>
      <c r="Q56" s="24"/>
      <c r="R56" s="22"/>
    </row>
    <row r="57" spans="1:24" ht="18.75">
      <c r="A57" s="12"/>
      <c r="B57" s="14" t="s">
        <v>9</v>
      </c>
      <c r="C57" s="95">
        <f>SUM(C13:C39)</f>
        <v>9.01</v>
      </c>
      <c r="D57" s="79">
        <v>9.6</v>
      </c>
      <c r="E57" s="16">
        <f>SUM(E13:E39)+E56</f>
        <v>489843.70600000006</v>
      </c>
      <c r="F57" s="101">
        <f>F13+F14+F15+F16+F17+F18+F56</f>
        <v>438509.666</v>
      </c>
      <c r="G57" s="16">
        <f>G13+G14+G15+G16+G17+G18</f>
        <v>506949.12000000005</v>
      </c>
      <c r="H57" s="17">
        <f>1.04993597951*C57</f>
        <v>9.4599231753851</v>
      </c>
      <c r="I57" s="18">
        <f>1.12035851472*C57</f>
        <v>10.094430217627199</v>
      </c>
      <c r="J57" s="19">
        <f>J18</f>
        <v>4400.6</v>
      </c>
      <c r="N57" s="20"/>
      <c r="Q57" s="24"/>
      <c r="R57" s="22">
        <f>SUM(R13:R39)</f>
        <v>8.75</v>
      </c>
      <c r="S57" s="22">
        <f>SUM(S13:S39)</f>
        <v>9.16</v>
      </c>
      <c r="T57" s="22"/>
      <c r="U57" s="22"/>
      <c r="V57" s="22">
        <f>SUM(V13:V39)</f>
        <v>231031.50000000003</v>
      </c>
      <c r="W57" s="22">
        <f>SUM(W13:W39)</f>
        <v>241856.97600000002</v>
      </c>
      <c r="X57" s="22">
        <f>SUM(X13:X39)</f>
        <v>472888.476</v>
      </c>
    </row>
    <row r="58" spans="1:35" ht="18.75">
      <c r="A58" s="13">
        <v>5</v>
      </c>
      <c r="B58" s="25" t="s">
        <v>26</v>
      </c>
      <c r="C58" s="108">
        <v>1.58</v>
      </c>
      <c r="D58" s="108">
        <v>1.85</v>
      </c>
      <c r="E58" s="98">
        <f>AG58*AH58*6</f>
        <v>90564.34800000001</v>
      </c>
      <c r="F58" s="101">
        <f>E58</f>
        <v>90564.34800000001</v>
      </c>
      <c r="G58" s="101">
        <f>AI58*12*AG58</f>
        <v>99805.60800000001</v>
      </c>
      <c r="H58" s="69" t="e">
        <f>#REF!</f>
        <v>#REF!</v>
      </c>
      <c r="I58" s="22">
        <f>C58+D58</f>
        <v>3.43</v>
      </c>
      <c r="J58" s="34">
        <v>3.43</v>
      </c>
      <c r="K58">
        <v>10</v>
      </c>
      <c r="L58">
        <v>2</v>
      </c>
      <c r="N58" s="20">
        <f>C58*J58*K58</f>
        <v>54.194</v>
      </c>
      <c r="O58" s="20" t="e">
        <f>#REF!*J58*L58</f>
        <v>#REF!</v>
      </c>
      <c r="P58" s="20" t="e">
        <f>SUM(N58:O58)</f>
        <v>#REF!</v>
      </c>
      <c r="Q58" s="21"/>
      <c r="R58" s="22">
        <v>1.47</v>
      </c>
      <c r="S58">
        <v>1.58</v>
      </c>
      <c r="T58">
        <v>6</v>
      </c>
      <c r="U58">
        <v>6</v>
      </c>
      <c r="V58">
        <f>R58*J58*T58</f>
        <v>30.2526</v>
      </c>
      <c r="W58">
        <f>S58*U58*J58</f>
        <v>32.516400000000004</v>
      </c>
      <c r="X58">
        <f>SUM(V58:W58)</f>
        <v>62.769000000000005</v>
      </c>
      <c r="AG58" s="69">
        <f>C7</f>
        <v>4400.6</v>
      </c>
      <c r="AH58">
        <f>C58+D58</f>
        <v>3.43</v>
      </c>
      <c r="AI58">
        <v>1.89</v>
      </c>
    </row>
    <row r="59" spans="1:17" ht="18.75">
      <c r="A59" s="10"/>
      <c r="B59" s="26"/>
      <c r="C59" s="10"/>
      <c r="D59" s="10"/>
      <c r="E59" s="10"/>
      <c r="F59" s="10"/>
      <c r="G59" s="10"/>
      <c r="H59" s="10"/>
      <c r="Q59" s="24"/>
    </row>
    <row r="60" spans="1:17" ht="18.75">
      <c r="A60" s="179" t="s">
        <v>941</v>
      </c>
      <c r="B60" s="179"/>
      <c r="C60" s="183">
        <v>42699.66</v>
      </c>
      <c r="D60" s="183"/>
      <c r="E60" s="6" t="s">
        <v>18</v>
      </c>
      <c r="F60" s="10"/>
      <c r="G60" s="10"/>
      <c r="H60" s="10"/>
      <c r="Q60" s="24"/>
    </row>
    <row r="61" spans="1:17" ht="18.75">
      <c r="A61" s="179" t="s">
        <v>942</v>
      </c>
      <c r="B61" s="179"/>
      <c r="C61" s="183">
        <v>12563.87</v>
      </c>
      <c r="D61" s="183"/>
      <c r="E61" s="6" t="s">
        <v>18</v>
      </c>
      <c r="F61" s="10"/>
      <c r="G61" s="10"/>
      <c r="H61" s="10"/>
      <c r="Q61" s="24"/>
    </row>
    <row r="62" spans="1:8" ht="18.75">
      <c r="A62" s="180" t="s">
        <v>17</v>
      </c>
      <c r="B62" s="180"/>
      <c r="C62" s="180"/>
      <c r="D62" s="180"/>
      <c r="E62" s="180"/>
      <c r="F62" s="180"/>
      <c r="G62" s="180"/>
      <c r="H62" s="10"/>
    </row>
    <row r="63" spans="1:8" ht="18.75" customHeight="1" hidden="1">
      <c r="A63" s="181" t="s">
        <v>35</v>
      </c>
      <c r="B63" s="181"/>
      <c r="C63" s="5" t="e">
        <f>C60-#REF!</f>
        <v>#REF!</v>
      </c>
      <c r="D63" s="10" t="s">
        <v>18</v>
      </c>
      <c r="E63" s="10"/>
      <c r="F63" s="10"/>
      <c r="G63" s="10"/>
      <c r="H63" s="10"/>
    </row>
    <row r="64" spans="1:8" ht="18.75" customHeight="1" hidden="1">
      <c r="A64" s="181" t="s">
        <v>36</v>
      </c>
      <c r="B64" s="181"/>
      <c r="C64" s="85">
        <f>E57-F57</f>
        <v>51334.04000000004</v>
      </c>
      <c r="D64" s="84" t="str">
        <f>D63</f>
        <v>рублей</v>
      </c>
      <c r="H64" s="28"/>
    </row>
  </sheetData>
  <sheetProtection/>
  <mergeCells count="18">
    <mergeCell ref="A1:G2"/>
    <mergeCell ref="A3:G3"/>
    <mergeCell ref="A4:H5"/>
    <mergeCell ref="F9:F11"/>
    <mergeCell ref="G9:G11"/>
    <mergeCell ref="J9:Q12"/>
    <mergeCell ref="R9:X12"/>
    <mergeCell ref="A9:A11"/>
    <mergeCell ref="B9:B11"/>
    <mergeCell ref="C9:D10"/>
    <mergeCell ref="E9:E11"/>
    <mergeCell ref="A62:G62"/>
    <mergeCell ref="A63:B63"/>
    <mergeCell ref="A64:B64"/>
    <mergeCell ref="C60:D60"/>
    <mergeCell ref="C61:D61"/>
    <mergeCell ref="A60:B60"/>
    <mergeCell ref="A61:B6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2" r:id="rId1"/>
  <rowBreaks count="1" manualBreakCount="1">
    <brk id="48" max="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I64"/>
  <sheetViews>
    <sheetView view="pageBreakPreview" zoomScale="75" zoomScaleSheetLayoutView="75" zoomScalePageLayoutView="0" workbookViewId="0" topLeftCell="A40">
      <selection activeCell="F56" sqref="F56"/>
    </sheetView>
  </sheetViews>
  <sheetFormatPr defaultColWidth="9.00390625" defaultRowHeight="12.75"/>
  <cols>
    <col min="1" max="1" width="9.375" style="0" bestFit="1" customWidth="1"/>
    <col min="2" max="2" width="67.25390625" style="0" customWidth="1"/>
    <col min="3" max="3" width="10.625" style="0" customWidth="1"/>
    <col min="4" max="4" width="13.625" style="0" customWidth="1"/>
    <col min="5" max="5" width="14.25390625" style="0" customWidth="1"/>
    <col min="6" max="6" width="15.75390625" style="0" bestFit="1" customWidth="1"/>
    <col min="7" max="7" width="13.375" style="0" bestFit="1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1" width="9.25390625" style="0" hidden="1" customWidth="1"/>
    <col min="22" max="31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43.5" customHeight="1">
      <c r="A3" s="182" t="s">
        <v>57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2841.42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18" t="s">
        <v>99</v>
      </c>
      <c r="F9" s="222" t="s">
        <v>74</v>
      </c>
      <c r="G9" s="218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57" customHeight="1">
      <c r="A10" s="212"/>
      <c r="B10" s="212"/>
      <c r="C10" s="216"/>
      <c r="D10" s="217"/>
      <c r="E10" s="219"/>
      <c r="F10" s="223"/>
      <c r="G10" s="219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126.75" customHeight="1">
      <c r="A11" s="213"/>
      <c r="B11" s="213"/>
      <c r="C11" s="124" t="s">
        <v>107</v>
      </c>
      <c r="D11" s="124" t="s">
        <v>106</v>
      </c>
      <c r="E11" s="220"/>
      <c r="F11" s="224"/>
      <c r="G11" s="220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41.25" customHeight="1">
      <c r="A12" s="32" t="s">
        <v>12</v>
      </c>
      <c r="B12" s="53" t="s">
        <v>20</v>
      </c>
      <c r="C12" s="119"/>
      <c r="D12" s="119"/>
      <c r="E12" s="32"/>
      <c r="F12" s="32"/>
      <c r="G12" s="32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4" ht="18.75">
      <c r="A13" s="32" t="s">
        <v>13</v>
      </c>
      <c r="B13" s="53" t="s">
        <v>10</v>
      </c>
      <c r="C13" s="34">
        <v>1.09</v>
      </c>
      <c r="D13" s="34">
        <v>1.14</v>
      </c>
      <c r="E13" s="32">
        <f aca="true" t="shared" si="0" ref="E13:E18">AF13*AG13*6</f>
        <v>38018.1996</v>
      </c>
      <c r="F13" s="32">
        <f>E13</f>
        <v>38018.1996</v>
      </c>
      <c r="G13" s="32">
        <f aca="true" t="shared" si="1" ref="G13:G18">AF13*AH13*12</f>
        <v>38870.6256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2841.42</v>
      </c>
      <c r="K13">
        <v>6</v>
      </c>
      <c r="L13">
        <v>2</v>
      </c>
      <c r="M13">
        <v>4</v>
      </c>
      <c r="N13" s="20">
        <f aca="true" t="shared" si="4" ref="N13:N18">C13*J13*K13</f>
        <v>18582.8868</v>
      </c>
      <c r="O13" s="20" t="e">
        <f>J13*#REF!*L13</f>
        <v>#REF!</v>
      </c>
      <c r="P13" s="20">
        <f aca="true" t="shared" si="5" ref="P13:P18">D13*J13*M13</f>
        <v>12956.875199999999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17900.946</v>
      </c>
      <c r="W13">
        <f aca="true" t="shared" si="8" ref="W13:W18">U13*S13*J13</f>
        <v>18582.886800000004</v>
      </c>
      <c r="X13">
        <f aca="true" t="shared" si="9" ref="X13:X18">SUM(V13:W13)</f>
        <v>36483.832800000004</v>
      </c>
      <c r="AF13" s="69">
        <f>C7</f>
        <v>2841.42</v>
      </c>
      <c r="AG13" s="22">
        <f aca="true" t="shared" si="10" ref="AG13:AG18">C13+D13</f>
        <v>2.23</v>
      </c>
      <c r="AH13" s="34">
        <v>1.14</v>
      </c>
    </row>
    <row r="14" spans="1:34" ht="19.5" customHeight="1">
      <c r="A14" s="32" t="s">
        <v>14</v>
      </c>
      <c r="B14" s="53" t="s">
        <v>15</v>
      </c>
      <c r="C14" s="34">
        <v>1.39</v>
      </c>
      <c r="D14" s="34">
        <v>1.46</v>
      </c>
      <c r="E14" s="32">
        <f t="shared" si="0"/>
        <v>48588.282</v>
      </c>
      <c r="F14" s="32">
        <f>E14</f>
        <v>48588.282</v>
      </c>
      <c r="G14" s="32">
        <f t="shared" si="1"/>
        <v>49781.678400000004</v>
      </c>
      <c r="H14" s="17">
        <f t="shared" si="2"/>
        <v>1.4594110115189</v>
      </c>
      <c r="I14" s="18">
        <f t="shared" si="3"/>
        <v>1.5572983354607999</v>
      </c>
      <c r="J14" s="19">
        <f>J13</f>
        <v>2841.42</v>
      </c>
      <c r="K14">
        <v>6</v>
      </c>
      <c r="L14">
        <v>2</v>
      </c>
      <c r="M14">
        <v>4</v>
      </c>
      <c r="N14" s="20">
        <f t="shared" si="4"/>
        <v>23697.442799999997</v>
      </c>
      <c r="O14" s="20" t="e">
        <f>J14*#REF!*L14</f>
        <v>#REF!</v>
      </c>
      <c r="P14" s="20">
        <f t="shared" si="5"/>
        <v>16593.8928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22674.531600000002</v>
      </c>
      <c r="W14">
        <f t="shared" si="8"/>
        <v>23697.4428</v>
      </c>
      <c r="X14">
        <f t="shared" si="9"/>
        <v>46371.97440000001</v>
      </c>
      <c r="AF14">
        <f>AF13</f>
        <v>2841.42</v>
      </c>
      <c r="AG14" s="22">
        <f t="shared" si="10"/>
        <v>2.8499999999999996</v>
      </c>
      <c r="AH14" s="34">
        <v>1.46</v>
      </c>
    </row>
    <row r="15" spans="1:34" ht="18.75">
      <c r="A15" s="32" t="s">
        <v>16</v>
      </c>
      <c r="B15" s="53" t="s">
        <v>7</v>
      </c>
      <c r="C15" s="34"/>
      <c r="D15" s="34"/>
      <c r="E15" s="32"/>
      <c r="F15" s="32"/>
      <c r="G15" s="32"/>
      <c r="H15" s="17">
        <f t="shared" si="2"/>
        <v>0</v>
      </c>
      <c r="I15" s="18">
        <f t="shared" si="3"/>
        <v>0</v>
      </c>
      <c r="J15" s="19">
        <f>J14</f>
        <v>2841.42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2216.3076</v>
      </c>
      <c r="W15">
        <f t="shared" si="8"/>
        <v>0</v>
      </c>
      <c r="X15">
        <f t="shared" si="9"/>
        <v>2216.3076</v>
      </c>
      <c r="AF15">
        <f>AF14</f>
        <v>2841.42</v>
      </c>
      <c r="AG15" s="22">
        <f t="shared" si="10"/>
        <v>0</v>
      </c>
      <c r="AH15" s="34">
        <v>0</v>
      </c>
    </row>
    <row r="16" spans="1:34" ht="18.75">
      <c r="A16" s="32" t="s">
        <v>21</v>
      </c>
      <c r="B16" s="53" t="s">
        <v>11</v>
      </c>
      <c r="C16" s="34">
        <v>0.82</v>
      </c>
      <c r="D16" s="34">
        <v>0.58</v>
      </c>
      <c r="E16" s="32">
        <f t="shared" si="0"/>
        <v>23867.928</v>
      </c>
      <c r="F16" s="32">
        <f>E16</f>
        <v>23867.928</v>
      </c>
      <c r="G16" s="32">
        <f t="shared" si="1"/>
        <v>19776.283199999998</v>
      </c>
      <c r="H16" s="17">
        <f t="shared" si="2"/>
        <v>0.8609475031982</v>
      </c>
      <c r="I16" s="18">
        <f t="shared" si="3"/>
        <v>0.9186939820703999</v>
      </c>
      <c r="J16" s="19">
        <f>J15</f>
        <v>2841.42</v>
      </c>
      <c r="K16">
        <v>6</v>
      </c>
      <c r="L16">
        <v>2</v>
      </c>
      <c r="M16">
        <v>4</v>
      </c>
      <c r="N16" s="20">
        <f t="shared" si="4"/>
        <v>13979.786399999999</v>
      </c>
      <c r="O16" s="20" t="e">
        <f>J16*#REF!*L16</f>
        <v>#REF!</v>
      </c>
      <c r="P16" s="20">
        <f t="shared" si="5"/>
        <v>6592.0944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13468.330800000002</v>
      </c>
      <c r="W16">
        <f t="shared" si="8"/>
        <v>13979.7864</v>
      </c>
      <c r="X16">
        <f t="shared" si="9"/>
        <v>27448.1172</v>
      </c>
      <c r="AF16">
        <f>AF15</f>
        <v>2841.42</v>
      </c>
      <c r="AG16" s="22">
        <f t="shared" si="10"/>
        <v>1.4</v>
      </c>
      <c r="AH16" s="34">
        <v>0.58</v>
      </c>
    </row>
    <row r="17" spans="1:34" ht="18.75">
      <c r="A17" s="32" t="s">
        <v>22</v>
      </c>
      <c r="B17" s="53" t="s">
        <v>19</v>
      </c>
      <c r="C17" s="34">
        <v>1.24</v>
      </c>
      <c r="D17" s="34">
        <v>1.24</v>
      </c>
      <c r="E17" s="32">
        <f t="shared" si="0"/>
        <v>42280.3296</v>
      </c>
      <c r="F17" s="32">
        <f>E17</f>
        <v>42280.3296</v>
      </c>
      <c r="G17" s="32">
        <f t="shared" si="1"/>
        <v>42280.3296</v>
      </c>
      <c r="H17" s="17">
        <f t="shared" si="2"/>
        <v>1.3019206145924</v>
      </c>
      <c r="I17" s="18">
        <f t="shared" si="3"/>
        <v>1.3892445582528</v>
      </c>
      <c r="J17" s="19">
        <f>J16</f>
        <v>2841.42</v>
      </c>
      <c r="K17">
        <v>6</v>
      </c>
      <c r="L17">
        <v>2</v>
      </c>
      <c r="M17">
        <v>4</v>
      </c>
      <c r="N17" s="20">
        <f t="shared" si="4"/>
        <v>21140.1648</v>
      </c>
      <c r="O17" s="20" t="e">
        <f>J17*#REF!*L17</f>
        <v>#REF!</v>
      </c>
      <c r="P17" s="20">
        <f t="shared" si="5"/>
        <v>14093.4432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21140.1648</v>
      </c>
      <c r="W17">
        <f t="shared" si="8"/>
        <v>21140.1648</v>
      </c>
      <c r="X17">
        <f t="shared" si="9"/>
        <v>42280.3296</v>
      </c>
      <c r="AF17">
        <f>AF16</f>
        <v>2841.42</v>
      </c>
      <c r="AG17" s="22">
        <f t="shared" si="10"/>
        <v>2.48</v>
      </c>
      <c r="AH17" s="34">
        <v>1.24</v>
      </c>
    </row>
    <row r="18" spans="1:34" ht="56.25">
      <c r="A18" s="32" t="s">
        <v>23</v>
      </c>
      <c r="B18" s="53" t="s">
        <v>24</v>
      </c>
      <c r="C18" s="34">
        <v>4.47</v>
      </c>
      <c r="D18" s="34">
        <v>5.18</v>
      </c>
      <c r="E18" s="32">
        <f t="shared" si="0"/>
        <v>164518.218</v>
      </c>
      <c r="F18" s="115">
        <f>F20+F22+F24+F25+F26+F28+F29+F31+F32+F34+F35+F36+F37+F38+F40+F41+F43+F44+F46+F47+F49+F50+F52+F53</f>
        <v>107054.65</v>
      </c>
      <c r="G18" s="115">
        <f t="shared" si="1"/>
        <v>176622.6672</v>
      </c>
      <c r="H18" s="17">
        <f t="shared" si="2"/>
        <v>4.6932138284097</v>
      </c>
      <c r="I18" s="18">
        <f t="shared" si="3"/>
        <v>5.008002560798399</v>
      </c>
      <c r="J18" s="19">
        <f>J17</f>
        <v>2841.42</v>
      </c>
      <c r="K18">
        <v>6</v>
      </c>
      <c r="L18">
        <v>2</v>
      </c>
      <c r="M18">
        <v>4</v>
      </c>
      <c r="N18" s="20">
        <f t="shared" si="4"/>
        <v>76206.8844</v>
      </c>
      <c r="O18" s="20" t="e">
        <f>J18*#REF!*L18</f>
        <v>#REF!</v>
      </c>
      <c r="P18" s="20">
        <f t="shared" si="5"/>
        <v>58874.2224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71774.26920000001</v>
      </c>
      <c r="W18">
        <f t="shared" si="8"/>
        <v>78764.1624</v>
      </c>
      <c r="X18">
        <f t="shared" si="9"/>
        <v>150538.4316</v>
      </c>
      <c r="AF18">
        <f>AF17</f>
        <v>2841.42</v>
      </c>
      <c r="AG18" s="22">
        <f t="shared" si="10"/>
        <v>9.649999999999999</v>
      </c>
      <c r="AH18" s="34">
        <v>5.18</v>
      </c>
    </row>
    <row r="19" spans="1:19" ht="18.75">
      <c r="A19" s="32"/>
      <c r="B19" s="42" t="s">
        <v>75</v>
      </c>
      <c r="C19" s="119"/>
      <c r="D19" s="119"/>
      <c r="E19" s="32"/>
      <c r="F19" s="115"/>
      <c r="G19" s="115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56.25" customHeight="1">
      <c r="A20" s="32"/>
      <c r="B20" s="53" t="s">
        <v>554</v>
      </c>
      <c r="C20" s="119"/>
      <c r="D20" s="119"/>
      <c r="E20" s="32"/>
      <c r="F20" s="115">
        <v>9898.48</v>
      </c>
      <c r="G20" s="115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32"/>
      <c r="B21" s="42" t="s">
        <v>88</v>
      </c>
      <c r="C21" s="119"/>
      <c r="D21" s="119"/>
      <c r="E21" s="32"/>
      <c r="F21" s="115"/>
      <c r="G21" s="115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35.25" customHeight="1">
      <c r="A22" s="32"/>
      <c r="B22" s="53" t="s">
        <v>555</v>
      </c>
      <c r="C22" s="119"/>
      <c r="D22" s="119"/>
      <c r="E22" s="32"/>
      <c r="F22" s="115">
        <v>4903.43</v>
      </c>
      <c r="G22" s="115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32"/>
      <c r="B23" s="42" t="s">
        <v>89</v>
      </c>
      <c r="C23" s="119"/>
      <c r="D23" s="119"/>
      <c r="E23" s="32"/>
      <c r="F23" s="115"/>
      <c r="G23" s="115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32"/>
      <c r="B24" s="53" t="s">
        <v>556</v>
      </c>
      <c r="C24" s="119"/>
      <c r="D24" s="119"/>
      <c r="E24" s="32"/>
      <c r="F24" s="115">
        <v>468.76</v>
      </c>
      <c r="G24" s="115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32"/>
      <c r="B25" s="53" t="s">
        <v>557</v>
      </c>
      <c r="C25" s="119"/>
      <c r="D25" s="119"/>
      <c r="E25" s="32"/>
      <c r="F25" s="115">
        <v>1494.96</v>
      </c>
      <c r="G25" s="115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18.75">
      <c r="A26" s="32"/>
      <c r="B26" s="53" t="s">
        <v>27</v>
      </c>
      <c r="C26" s="119"/>
      <c r="D26" s="119"/>
      <c r="E26" s="32"/>
      <c r="F26" s="115">
        <v>1320.85</v>
      </c>
      <c r="G26" s="115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32"/>
      <c r="B27" s="42" t="s">
        <v>371</v>
      </c>
      <c r="C27" s="119"/>
      <c r="D27" s="119"/>
      <c r="E27" s="32"/>
      <c r="F27" s="115"/>
      <c r="G27" s="115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32"/>
      <c r="B28" s="53" t="s">
        <v>558</v>
      </c>
      <c r="C28" s="119"/>
      <c r="D28" s="119"/>
      <c r="E28" s="32"/>
      <c r="F28" s="115">
        <v>592.13</v>
      </c>
      <c r="G28" s="115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32"/>
      <c r="B29" s="53" t="s">
        <v>307</v>
      </c>
      <c r="C29" s="119"/>
      <c r="D29" s="119"/>
      <c r="E29" s="32"/>
      <c r="F29" s="115">
        <v>262.17</v>
      </c>
      <c r="G29" s="115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18.75">
      <c r="A30" s="32"/>
      <c r="B30" s="42" t="s">
        <v>539</v>
      </c>
      <c r="C30" s="119"/>
      <c r="D30" s="119"/>
      <c r="E30" s="32"/>
      <c r="F30" s="115"/>
      <c r="G30" s="115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37.5">
      <c r="A31" s="32"/>
      <c r="B31" s="53" t="s">
        <v>559</v>
      </c>
      <c r="C31" s="119"/>
      <c r="D31" s="119"/>
      <c r="E31" s="32"/>
      <c r="F31" s="115">
        <v>11511.94</v>
      </c>
      <c r="G31" s="115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37.5">
      <c r="A32" s="32"/>
      <c r="B32" s="53" t="s">
        <v>560</v>
      </c>
      <c r="C32" s="119"/>
      <c r="D32" s="119"/>
      <c r="E32" s="32"/>
      <c r="F32" s="115">
        <v>1768.86</v>
      </c>
      <c r="G32" s="115"/>
      <c r="H32" s="17"/>
      <c r="I32" s="18"/>
      <c r="J32" s="19"/>
      <c r="N32" s="20"/>
      <c r="O32" s="20"/>
      <c r="P32" s="20"/>
      <c r="Q32" s="21"/>
      <c r="R32" s="22"/>
      <c r="S32" s="22"/>
    </row>
    <row r="33" spans="1:19" ht="18.75">
      <c r="A33" s="32"/>
      <c r="B33" s="42" t="s">
        <v>124</v>
      </c>
      <c r="C33" s="119"/>
      <c r="D33" s="119"/>
      <c r="E33" s="32"/>
      <c r="F33" s="115"/>
      <c r="G33" s="115"/>
      <c r="H33" s="17"/>
      <c r="I33" s="18"/>
      <c r="J33" s="19"/>
      <c r="N33" s="20"/>
      <c r="O33" s="20"/>
      <c r="P33" s="20"/>
      <c r="Q33" s="21"/>
      <c r="R33" s="22"/>
      <c r="S33" s="22"/>
    </row>
    <row r="34" spans="1:24" ht="37.5">
      <c r="A34" s="32"/>
      <c r="B34" s="53" t="s">
        <v>561</v>
      </c>
      <c r="C34" s="82"/>
      <c r="D34" s="82"/>
      <c r="E34" s="68"/>
      <c r="F34" s="115">
        <v>7785.74</v>
      </c>
      <c r="G34" s="126"/>
      <c r="H34" s="17"/>
      <c r="I34" s="18"/>
      <c r="J34" s="19"/>
      <c r="K34">
        <v>6</v>
      </c>
      <c r="L34">
        <v>2</v>
      </c>
      <c r="M34">
        <v>4</v>
      </c>
      <c r="N34" s="20">
        <f>C34*J34*K34</f>
        <v>0</v>
      </c>
      <c r="O34" s="20" t="e">
        <f>J34*#REF!*L34</f>
        <v>#REF!</v>
      </c>
      <c r="P34" s="20">
        <f>D34*J34*M34</f>
        <v>0</v>
      </c>
      <c r="Q34" s="24"/>
      <c r="R34" s="22"/>
      <c r="V34">
        <f>J34*R34*U34</f>
        <v>0</v>
      </c>
      <c r="W34">
        <f>U34*S34*J34</f>
        <v>0</v>
      </c>
      <c r="X34">
        <f>SUM(V34:W34)</f>
        <v>0</v>
      </c>
    </row>
    <row r="35" spans="1:24" ht="37.5">
      <c r="A35" s="32"/>
      <c r="B35" s="53" t="s">
        <v>562</v>
      </c>
      <c r="C35" s="82"/>
      <c r="D35" s="82"/>
      <c r="E35" s="68"/>
      <c r="F35" s="115">
        <v>3645.93</v>
      </c>
      <c r="G35" s="126"/>
      <c r="H35" s="17"/>
      <c r="I35" s="18"/>
      <c r="J35" s="19"/>
      <c r="K35">
        <v>6</v>
      </c>
      <c r="L35">
        <v>2</v>
      </c>
      <c r="M35">
        <v>4</v>
      </c>
      <c r="N35" s="20">
        <f>C35*J35*K35</f>
        <v>0</v>
      </c>
      <c r="O35" s="20" t="e">
        <f>J35*#REF!*L35</f>
        <v>#REF!</v>
      </c>
      <c r="P35" s="20">
        <f>D35*J35*M35</f>
        <v>0</v>
      </c>
      <c r="Q35" s="24"/>
      <c r="R35" s="22"/>
      <c r="V35">
        <f>J35*R35*U35</f>
        <v>0</v>
      </c>
      <c r="W35">
        <f>U35*S35*J35</f>
        <v>0</v>
      </c>
      <c r="X35">
        <f>SUM(V35:W35)</f>
        <v>0</v>
      </c>
    </row>
    <row r="36" spans="1:18" ht="18.75">
      <c r="A36" s="32"/>
      <c r="B36" s="42" t="s">
        <v>563</v>
      </c>
      <c r="C36" s="82"/>
      <c r="D36" s="82"/>
      <c r="E36" s="68"/>
      <c r="F36" s="115">
        <v>0</v>
      </c>
      <c r="G36" s="126"/>
      <c r="H36" s="17"/>
      <c r="I36" s="18"/>
      <c r="J36" s="19"/>
      <c r="N36" s="20"/>
      <c r="O36" s="20"/>
      <c r="P36" s="20"/>
      <c r="Q36" s="24"/>
      <c r="R36" s="22"/>
    </row>
    <row r="37" spans="1:18" ht="56.25">
      <c r="A37" s="32"/>
      <c r="B37" s="42" t="s">
        <v>564</v>
      </c>
      <c r="C37" s="82"/>
      <c r="D37" s="82"/>
      <c r="E37" s="68"/>
      <c r="F37" s="115">
        <v>15434.4</v>
      </c>
      <c r="G37" s="126"/>
      <c r="H37" s="17"/>
      <c r="I37" s="18"/>
      <c r="J37" s="19"/>
      <c r="N37" s="20"/>
      <c r="O37" s="20"/>
      <c r="P37" s="20"/>
      <c r="Q37" s="24"/>
      <c r="R37" s="22"/>
    </row>
    <row r="38" spans="1:18" ht="18.75">
      <c r="A38" s="32"/>
      <c r="B38" s="42" t="s">
        <v>565</v>
      </c>
      <c r="C38" s="82"/>
      <c r="D38" s="82"/>
      <c r="E38" s="68"/>
      <c r="F38" s="115">
        <v>207.59</v>
      </c>
      <c r="G38" s="126"/>
      <c r="H38" s="17"/>
      <c r="I38" s="18"/>
      <c r="J38" s="19"/>
      <c r="N38" s="20"/>
      <c r="O38" s="20"/>
      <c r="P38" s="20"/>
      <c r="Q38" s="24"/>
      <c r="R38" s="22"/>
    </row>
    <row r="39" spans="1:18" ht="18.75">
      <c r="A39" s="32"/>
      <c r="B39" s="42" t="s">
        <v>94</v>
      </c>
      <c r="C39" s="82"/>
      <c r="D39" s="82"/>
      <c r="E39" s="68"/>
      <c r="F39" s="115"/>
      <c r="G39" s="126"/>
      <c r="H39" s="17"/>
      <c r="I39" s="18"/>
      <c r="J39" s="19"/>
      <c r="N39" s="20"/>
      <c r="O39" s="20"/>
      <c r="P39" s="20"/>
      <c r="Q39" s="24"/>
      <c r="R39" s="22"/>
    </row>
    <row r="40" spans="1:18" ht="20.25" customHeight="1">
      <c r="A40" s="32"/>
      <c r="B40" s="78" t="s">
        <v>566</v>
      </c>
      <c r="C40" s="82"/>
      <c r="D40" s="82"/>
      <c r="E40" s="68"/>
      <c r="F40" s="115">
        <v>12509.89</v>
      </c>
      <c r="G40" s="126"/>
      <c r="H40" s="17"/>
      <c r="I40" s="18"/>
      <c r="J40" s="19"/>
      <c r="N40" s="20"/>
      <c r="O40" s="20"/>
      <c r="P40" s="20"/>
      <c r="Q40" s="24"/>
      <c r="R40" s="22"/>
    </row>
    <row r="41" spans="1:18" ht="18.75">
      <c r="A41" s="32"/>
      <c r="B41" s="53" t="s">
        <v>567</v>
      </c>
      <c r="C41" s="82"/>
      <c r="D41" s="82"/>
      <c r="E41" s="68"/>
      <c r="F41" s="115">
        <v>266.15</v>
      </c>
      <c r="G41" s="126"/>
      <c r="H41" s="17"/>
      <c r="I41" s="18"/>
      <c r="J41" s="19"/>
      <c r="N41" s="20"/>
      <c r="O41" s="20"/>
      <c r="P41" s="20"/>
      <c r="Q41" s="24"/>
      <c r="R41" s="22"/>
    </row>
    <row r="42" spans="1:18" ht="18.75">
      <c r="A42" s="32"/>
      <c r="B42" s="42" t="s">
        <v>98</v>
      </c>
      <c r="C42" s="82"/>
      <c r="D42" s="82"/>
      <c r="E42" s="68"/>
      <c r="F42" s="115"/>
      <c r="G42" s="126"/>
      <c r="H42" s="17"/>
      <c r="I42" s="18"/>
      <c r="J42" s="19"/>
      <c r="N42" s="20"/>
      <c r="O42" s="20"/>
      <c r="P42" s="20"/>
      <c r="Q42" s="24"/>
      <c r="R42" s="22"/>
    </row>
    <row r="43" spans="1:18" ht="37.5">
      <c r="A43" s="32"/>
      <c r="B43" s="53" t="s">
        <v>568</v>
      </c>
      <c r="C43" s="82"/>
      <c r="D43" s="82"/>
      <c r="E43" s="68"/>
      <c r="F43" s="115">
        <v>662.9</v>
      </c>
      <c r="G43" s="126"/>
      <c r="H43" s="17"/>
      <c r="I43" s="18"/>
      <c r="J43" s="19"/>
      <c r="N43" s="20"/>
      <c r="O43" s="20"/>
      <c r="P43" s="20"/>
      <c r="Q43" s="24"/>
      <c r="R43" s="22"/>
    </row>
    <row r="44" spans="1:18" ht="37.5">
      <c r="A44" s="32"/>
      <c r="B44" s="53" t="s">
        <v>569</v>
      </c>
      <c r="C44" s="82"/>
      <c r="D44" s="82"/>
      <c r="E44" s="68"/>
      <c r="F44" s="115">
        <v>1968.58</v>
      </c>
      <c r="G44" s="126"/>
      <c r="H44" s="17"/>
      <c r="I44" s="18"/>
      <c r="J44" s="19"/>
      <c r="N44" s="20"/>
      <c r="O44" s="20"/>
      <c r="P44" s="20"/>
      <c r="Q44" s="24"/>
      <c r="R44" s="22"/>
    </row>
    <row r="45" spans="1:18" ht="18.75">
      <c r="A45" s="32"/>
      <c r="B45" s="42" t="s">
        <v>95</v>
      </c>
      <c r="C45" s="82"/>
      <c r="D45" s="82"/>
      <c r="E45" s="68"/>
      <c r="F45" s="115"/>
      <c r="G45" s="126"/>
      <c r="H45" s="17"/>
      <c r="I45" s="18"/>
      <c r="J45" s="19"/>
      <c r="N45" s="20"/>
      <c r="O45" s="20"/>
      <c r="P45" s="20"/>
      <c r="Q45" s="24"/>
      <c r="R45" s="22"/>
    </row>
    <row r="46" spans="1:18" ht="56.25">
      <c r="A46" s="32"/>
      <c r="B46" s="78" t="s">
        <v>570</v>
      </c>
      <c r="C46" s="82"/>
      <c r="D46" s="82"/>
      <c r="E46" s="68"/>
      <c r="F46" s="115">
        <v>13539.71</v>
      </c>
      <c r="G46" s="126"/>
      <c r="H46" s="17"/>
      <c r="I46" s="18"/>
      <c r="J46" s="19"/>
      <c r="N46" s="20"/>
      <c r="O46" s="20"/>
      <c r="P46" s="20"/>
      <c r="Q46" s="24"/>
      <c r="R46" s="22"/>
    </row>
    <row r="47" spans="1:18" ht="18.75">
      <c r="A47" s="32"/>
      <c r="B47" s="53" t="s">
        <v>0</v>
      </c>
      <c r="C47" s="82"/>
      <c r="D47" s="82"/>
      <c r="E47" s="68"/>
      <c r="F47" s="115">
        <v>278.04</v>
      </c>
      <c r="G47" s="126"/>
      <c r="H47" s="17"/>
      <c r="I47" s="18"/>
      <c r="J47" s="19"/>
      <c r="N47" s="20"/>
      <c r="O47" s="20"/>
      <c r="P47" s="20"/>
      <c r="Q47" s="24"/>
      <c r="R47" s="22"/>
    </row>
    <row r="48" spans="1:18" ht="18.75">
      <c r="A48" s="32"/>
      <c r="B48" s="42" t="s">
        <v>96</v>
      </c>
      <c r="C48" s="82"/>
      <c r="D48" s="82"/>
      <c r="E48" s="68"/>
      <c r="F48" s="115"/>
      <c r="G48" s="126"/>
      <c r="H48" s="17"/>
      <c r="I48" s="18"/>
      <c r="J48" s="19"/>
      <c r="N48" s="20"/>
      <c r="O48" s="20"/>
      <c r="P48" s="20"/>
      <c r="Q48" s="24"/>
      <c r="R48" s="22"/>
    </row>
    <row r="49" spans="1:18" ht="37.5">
      <c r="A49" s="32"/>
      <c r="B49" s="78" t="s">
        <v>571</v>
      </c>
      <c r="C49" s="82"/>
      <c r="D49" s="82"/>
      <c r="E49" s="68"/>
      <c r="F49" s="115">
        <v>9734.2</v>
      </c>
      <c r="G49" s="126"/>
      <c r="H49" s="17"/>
      <c r="I49" s="18"/>
      <c r="J49" s="19"/>
      <c r="N49" s="20"/>
      <c r="O49" s="20"/>
      <c r="P49" s="20"/>
      <c r="Q49" s="24"/>
      <c r="R49" s="22"/>
    </row>
    <row r="50" spans="1:18" ht="18.75">
      <c r="A50" s="32"/>
      <c r="B50" s="53" t="s">
        <v>572</v>
      </c>
      <c r="C50" s="82"/>
      <c r="D50" s="82"/>
      <c r="E50" s="68"/>
      <c r="F50" s="115">
        <v>450.01</v>
      </c>
      <c r="G50" s="126"/>
      <c r="H50" s="17"/>
      <c r="I50" s="18"/>
      <c r="J50" s="19"/>
      <c r="N50" s="20"/>
      <c r="O50" s="20"/>
      <c r="P50" s="20"/>
      <c r="Q50" s="24"/>
      <c r="R50" s="22"/>
    </row>
    <row r="51" spans="1:18" ht="18.75">
      <c r="A51" s="32"/>
      <c r="B51" s="42" t="s">
        <v>97</v>
      </c>
      <c r="C51" s="82"/>
      <c r="D51" s="82"/>
      <c r="E51" s="68"/>
      <c r="F51" s="115"/>
      <c r="G51" s="126"/>
      <c r="H51" s="17"/>
      <c r="I51" s="18"/>
      <c r="J51" s="19"/>
      <c r="N51" s="20"/>
      <c r="O51" s="20"/>
      <c r="P51" s="20"/>
      <c r="Q51" s="24"/>
      <c r="R51" s="22"/>
    </row>
    <row r="52" spans="1:18" ht="56.25">
      <c r="A52" s="32"/>
      <c r="B52" s="53" t="s">
        <v>573</v>
      </c>
      <c r="C52" s="82"/>
      <c r="D52" s="82"/>
      <c r="E52" s="68"/>
      <c r="F52" s="115">
        <v>7300.33</v>
      </c>
      <c r="G52" s="126"/>
      <c r="H52" s="17"/>
      <c r="I52" s="18"/>
      <c r="J52" s="19"/>
      <c r="N52" s="20"/>
      <c r="O52" s="20"/>
      <c r="P52" s="20"/>
      <c r="Q52" s="24"/>
      <c r="R52" s="22"/>
    </row>
    <row r="53" spans="1:18" ht="37.5">
      <c r="A53" s="32"/>
      <c r="B53" s="53" t="s">
        <v>574</v>
      </c>
      <c r="C53" s="82"/>
      <c r="D53" s="82"/>
      <c r="E53" s="68"/>
      <c r="F53" s="115">
        <v>1049.6</v>
      </c>
      <c r="G53" s="126"/>
      <c r="H53" s="17"/>
      <c r="I53" s="18"/>
      <c r="J53" s="19"/>
      <c r="N53" s="20"/>
      <c r="O53" s="20"/>
      <c r="P53" s="20"/>
      <c r="Q53" s="24"/>
      <c r="R53" s="22"/>
    </row>
    <row r="54" spans="1:18" ht="37.5">
      <c r="A54" s="32"/>
      <c r="B54" s="14" t="s">
        <v>943</v>
      </c>
      <c r="C54" s="82"/>
      <c r="D54" s="82"/>
      <c r="E54" s="68">
        <v>-157.83</v>
      </c>
      <c r="F54" s="115">
        <f>E54</f>
        <v>-157.83</v>
      </c>
      <c r="G54" s="126"/>
      <c r="H54" s="17"/>
      <c r="I54" s="18"/>
      <c r="J54" s="19"/>
      <c r="N54" s="20"/>
      <c r="O54" s="20"/>
      <c r="P54" s="20"/>
      <c r="Q54" s="24"/>
      <c r="R54" s="22"/>
    </row>
    <row r="55" spans="1:24" ht="18.75">
      <c r="A55" s="61"/>
      <c r="B55" s="53" t="s">
        <v>9</v>
      </c>
      <c r="C55" s="119">
        <f>SUM(C13:C35)</f>
        <v>9.01</v>
      </c>
      <c r="D55" s="119">
        <f>SUM(D13:D35)</f>
        <v>9.6</v>
      </c>
      <c r="E55" s="32">
        <f>SUM(E13:E35)+E54</f>
        <v>317115.1272</v>
      </c>
      <c r="F55" s="115">
        <f>F13+F14+F15+F16+F17+F18+F54</f>
        <v>259651.55920000002</v>
      </c>
      <c r="G55" s="115">
        <f>G13+G14+G15+G16+G17+G18</f>
        <v>327331.58400000003</v>
      </c>
      <c r="H55" s="17">
        <f>1.04993597951*C55</f>
        <v>9.4599231753851</v>
      </c>
      <c r="I55" s="18">
        <f>1.12035851472*C55</f>
        <v>10.094430217627199</v>
      </c>
      <c r="J55" s="19">
        <f>J18</f>
        <v>2841.42</v>
      </c>
      <c r="N55" s="20"/>
      <c r="Q55" s="24"/>
      <c r="R55" s="22">
        <f>SUM(R13:R35)</f>
        <v>8.75</v>
      </c>
      <c r="S55" s="22">
        <f>SUM(S13:S35)</f>
        <v>9.16</v>
      </c>
      <c r="T55" s="22"/>
      <c r="U55" s="22"/>
      <c r="V55" s="22">
        <f>SUM(V13:V35)</f>
        <v>149174.55000000002</v>
      </c>
      <c r="W55" s="22">
        <f>SUM(W13:W35)</f>
        <v>156164.4432</v>
      </c>
      <c r="X55" s="22">
        <f>SUM(X13:X35)</f>
        <v>305338.9932</v>
      </c>
    </row>
    <row r="56" spans="1:35" ht="18.75">
      <c r="A56" s="13">
        <v>5</v>
      </c>
      <c r="B56" s="54" t="s">
        <v>26</v>
      </c>
      <c r="C56" s="108">
        <v>1.58</v>
      </c>
      <c r="D56" s="108">
        <v>1.85</v>
      </c>
      <c r="E56" s="98">
        <f>AG56*6*AH56</f>
        <v>58476.4236</v>
      </c>
      <c r="F56" s="101">
        <f>E56</f>
        <v>58476.4236</v>
      </c>
      <c r="G56" s="101">
        <f>AI56*12*AG56</f>
        <v>64443.4056</v>
      </c>
      <c r="H56" s="69" t="e">
        <f>#REF!</f>
        <v>#REF!</v>
      </c>
      <c r="I56" s="22">
        <f>C56+D56</f>
        <v>3.43</v>
      </c>
      <c r="J56" s="34">
        <v>3.43</v>
      </c>
      <c r="K56">
        <v>10</v>
      </c>
      <c r="L56">
        <v>2</v>
      </c>
      <c r="N56" s="20">
        <f>C56*J56*K56</f>
        <v>54.194</v>
      </c>
      <c r="O56" s="20" t="e">
        <f>#REF!*J56*L56</f>
        <v>#REF!</v>
      </c>
      <c r="P56" s="20" t="e">
        <f>SUM(N56:O56)</f>
        <v>#REF!</v>
      </c>
      <c r="Q56" s="21"/>
      <c r="R56" s="22">
        <v>1.47</v>
      </c>
      <c r="S56">
        <v>1.58</v>
      </c>
      <c r="T56">
        <v>6</v>
      </c>
      <c r="U56">
        <v>6</v>
      </c>
      <c r="V56">
        <f>R56*J56*T56</f>
        <v>30.2526</v>
      </c>
      <c r="W56">
        <f>S56*U56*J56</f>
        <v>32.516400000000004</v>
      </c>
      <c r="X56">
        <f>SUM(V56:W56)</f>
        <v>62.769000000000005</v>
      </c>
      <c r="AG56" s="69">
        <f>C7</f>
        <v>2841.42</v>
      </c>
      <c r="AH56">
        <f>C56+D56</f>
        <v>3.43</v>
      </c>
      <c r="AI56">
        <v>1.89</v>
      </c>
    </row>
    <row r="57" spans="1:17" ht="18.75">
      <c r="A57" s="62"/>
      <c r="B57" s="63"/>
      <c r="C57" s="62"/>
      <c r="D57" s="62"/>
      <c r="E57" s="62"/>
      <c r="F57" s="62"/>
      <c r="G57" s="62"/>
      <c r="H57" s="10"/>
      <c r="Q57" s="24"/>
    </row>
    <row r="58" spans="1:17" ht="18.75">
      <c r="A58" s="179" t="s">
        <v>941</v>
      </c>
      <c r="B58" s="179"/>
      <c r="C58" s="225">
        <v>25788.56</v>
      </c>
      <c r="D58" s="225"/>
      <c r="E58" s="66" t="s">
        <v>18</v>
      </c>
      <c r="F58" s="62"/>
      <c r="G58" s="62"/>
      <c r="H58" s="10"/>
      <c r="Q58" s="24"/>
    </row>
    <row r="59" spans="1:17" ht="18.75">
      <c r="A59" s="179" t="s">
        <v>942</v>
      </c>
      <c r="B59" s="179"/>
      <c r="C59" s="225">
        <v>39852.56</v>
      </c>
      <c r="D59" s="225"/>
      <c r="E59" s="66" t="s">
        <v>18</v>
      </c>
      <c r="F59" s="62"/>
      <c r="G59" s="62"/>
      <c r="H59" s="10"/>
      <c r="Q59" s="24"/>
    </row>
    <row r="60" spans="1:8" ht="18.75">
      <c r="A60" s="209" t="s">
        <v>17</v>
      </c>
      <c r="B60" s="209"/>
      <c r="C60" s="209"/>
      <c r="D60" s="209"/>
      <c r="E60" s="209"/>
      <c r="F60" s="209"/>
      <c r="G60" s="209"/>
      <c r="H60" s="10"/>
    </row>
    <row r="61" spans="1:8" ht="18.75" customHeight="1" hidden="1">
      <c r="A61" s="210" t="s">
        <v>35</v>
      </c>
      <c r="B61" s="210"/>
      <c r="C61" s="29" t="e">
        <f>C58-#REF!</f>
        <v>#REF!</v>
      </c>
      <c r="D61" s="62" t="s">
        <v>18</v>
      </c>
      <c r="E61" s="62"/>
      <c r="F61" s="62"/>
      <c r="G61" s="62"/>
      <c r="H61" s="10"/>
    </row>
    <row r="62" spans="1:8" ht="18.75" customHeight="1" hidden="1">
      <c r="A62" s="210" t="s">
        <v>36</v>
      </c>
      <c r="B62" s="210"/>
      <c r="C62" s="116">
        <f>E55-F55</f>
        <v>57463.56799999997</v>
      </c>
      <c r="D62" s="116" t="str">
        <f>D61</f>
        <v>рублей</v>
      </c>
      <c r="E62" s="69"/>
      <c r="F62" s="69"/>
      <c r="G62" s="69"/>
      <c r="H62" s="28"/>
    </row>
    <row r="63" spans="1:7" ht="12.75">
      <c r="A63" s="69"/>
      <c r="B63" s="69"/>
      <c r="C63" s="69"/>
      <c r="D63" s="69"/>
      <c r="E63" s="69"/>
      <c r="F63" s="69"/>
      <c r="G63" s="69"/>
    </row>
    <row r="64" spans="1:7" ht="12.75">
      <c r="A64" s="69"/>
      <c r="B64" s="69"/>
      <c r="C64" s="69"/>
      <c r="D64" s="69"/>
      <c r="E64" s="69"/>
      <c r="F64" s="69"/>
      <c r="G64" s="69"/>
    </row>
  </sheetData>
  <sheetProtection/>
  <mergeCells count="18">
    <mergeCell ref="A1:G2"/>
    <mergeCell ref="A3:G3"/>
    <mergeCell ref="A4:H5"/>
    <mergeCell ref="F9:F11"/>
    <mergeCell ref="G9:G11"/>
    <mergeCell ref="J9:Q12"/>
    <mergeCell ref="R9:X12"/>
    <mergeCell ref="A9:A11"/>
    <mergeCell ref="B9:B11"/>
    <mergeCell ref="C9:D10"/>
    <mergeCell ref="E9:E11"/>
    <mergeCell ref="C58:D58"/>
    <mergeCell ref="C59:D59"/>
    <mergeCell ref="A60:G60"/>
    <mergeCell ref="A61:B61"/>
    <mergeCell ref="A62:B62"/>
    <mergeCell ref="A58:B58"/>
    <mergeCell ref="A59:B5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  <rowBreaks count="1" manualBreakCount="1">
    <brk id="47" max="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AI61"/>
  <sheetViews>
    <sheetView view="pageBreakPreview" zoomScale="75" zoomScaleSheetLayoutView="75" zoomScalePageLayoutView="0" workbookViewId="0" topLeftCell="A34">
      <selection activeCell="F54" sqref="F54"/>
    </sheetView>
  </sheetViews>
  <sheetFormatPr defaultColWidth="9.00390625" defaultRowHeight="12.75"/>
  <cols>
    <col min="1" max="1" width="9.25390625" style="0" bestFit="1" customWidth="1"/>
    <col min="2" max="2" width="68.125" style="0" customWidth="1"/>
    <col min="3" max="3" width="13.00390625" style="0" customWidth="1"/>
    <col min="4" max="4" width="12.625" style="0" customWidth="1"/>
    <col min="5" max="5" width="17.75390625" style="0" customWidth="1"/>
    <col min="6" max="6" width="17.25390625" style="0" bestFit="1" customWidth="1"/>
    <col min="7" max="7" width="18.125" style="0" customWidth="1"/>
    <col min="8" max="13" width="9.375" style="0" hidden="1" customWidth="1"/>
    <col min="14" max="14" width="10.00390625" style="0" hidden="1" customWidth="1"/>
    <col min="15" max="16" width="9.375" style="0" hidden="1" customWidth="1"/>
    <col min="17" max="17" width="10.00390625" style="0" hidden="1" customWidth="1"/>
    <col min="18" max="21" width="9.375" style="0" hidden="1" customWidth="1"/>
    <col min="22" max="24" width="11.125" style="0" hidden="1" customWidth="1"/>
    <col min="25" max="26" width="0" style="0" hidden="1" customWidth="1"/>
    <col min="27" max="27" width="3.75390625" style="0" customWidth="1"/>
    <col min="28" max="28" width="3.125" style="0" customWidth="1"/>
    <col min="29" max="29" width="10.375" style="0" bestFit="1" customWidth="1"/>
  </cols>
  <sheetData>
    <row r="1" spans="1:8" ht="23.25">
      <c r="A1" s="239" t="s">
        <v>25</v>
      </c>
      <c r="B1" s="239"/>
      <c r="C1" s="239"/>
      <c r="D1" s="239"/>
      <c r="E1" s="239"/>
      <c r="F1" s="239"/>
      <c r="G1" s="239"/>
      <c r="H1" s="146"/>
    </row>
    <row r="2" spans="1:8" ht="23.25">
      <c r="A2" s="239"/>
      <c r="B2" s="239"/>
      <c r="C2" s="239"/>
      <c r="D2" s="239"/>
      <c r="E2" s="239"/>
      <c r="F2" s="239"/>
      <c r="G2" s="239"/>
      <c r="H2" s="146"/>
    </row>
    <row r="3" spans="1:8" ht="49.5" customHeight="1">
      <c r="A3" s="240" t="s">
        <v>58</v>
      </c>
      <c r="B3" s="240"/>
      <c r="C3" s="240"/>
      <c r="D3" s="240"/>
      <c r="E3" s="240"/>
      <c r="F3" s="240"/>
      <c r="G3" s="240"/>
      <c r="H3" s="147"/>
    </row>
    <row r="4" spans="1:8" ht="12.75">
      <c r="A4" s="239" t="s">
        <v>110</v>
      </c>
      <c r="B4" s="239"/>
      <c r="C4" s="239"/>
      <c r="D4" s="239"/>
      <c r="E4" s="239"/>
      <c r="F4" s="239"/>
      <c r="G4" s="239"/>
      <c r="H4" s="239"/>
    </row>
    <row r="5" spans="1:8" ht="12.75">
      <c r="A5" s="239"/>
      <c r="B5" s="239"/>
      <c r="C5" s="239"/>
      <c r="D5" s="239"/>
      <c r="E5" s="239"/>
      <c r="F5" s="239"/>
      <c r="G5" s="239"/>
      <c r="H5" s="239"/>
    </row>
    <row r="6" spans="1:8" ht="23.25">
      <c r="A6" s="145"/>
      <c r="B6" s="145"/>
      <c r="C6" s="145"/>
      <c r="D6" s="145"/>
      <c r="E6" s="145"/>
      <c r="F6" s="145"/>
      <c r="G6" s="145"/>
      <c r="H6" s="145"/>
    </row>
    <row r="7" spans="1:8" ht="27.75">
      <c r="A7" s="148"/>
      <c r="B7" s="149" t="s">
        <v>5</v>
      </c>
      <c r="C7" s="150">
        <v>2611</v>
      </c>
      <c r="D7" s="145" t="s">
        <v>940</v>
      </c>
      <c r="E7" s="151"/>
      <c r="F7" s="151"/>
      <c r="G7" s="151"/>
      <c r="H7" s="151"/>
    </row>
    <row r="8" spans="1:8" ht="23.25">
      <c r="A8" s="148"/>
      <c r="B8" s="145"/>
      <c r="C8" s="145"/>
      <c r="D8" s="145"/>
      <c r="E8" s="145"/>
      <c r="F8" s="145"/>
      <c r="G8" s="145"/>
      <c r="H8" s="145"/>
    </row>
    <row r="9" spans="1:24" ht="18.75" customHeight="1">
      <c r="A9" s="228" t="s">
        <v>8</v>
      </c>
      <c r="B9" s="228" t="s">
        <v>6</v>
      </c>
      <c r="C9" s="231" t="s">
        <v>32</v>
      </c>
      <c r="D9" s="232"/>
      <c r="E9" s="235" t="s">
        <v>99</v>
      </c>
      <c r="F9" s="241" t="s">
        <v>74</v>
      </c>
      <c r="G9" s="235" t="s">
        <v>218</v>
      </c>
      <c r="H9" s="152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66.75" customHeight="1">
      <c r="A10" s="229"/>
      <c r="B10" s="229"/>
      <c r="C10" s="233"/>
      <c r="D10" s="234"/>
      <c r="E10" s="236"/>
      <c r="F10" s="242"/>
      <c r="G10" s="236"/>
      <c r="H10" s="153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99.75" customHeight="1">
      <c r="A11" s="230"/>
      <c r="B11" s="230"/>
      <c r="C11" s="154" t="s">
        <v>107</v>
      </c>
      <c r="D11" s="154" t="s">
        <v>106</v>
      </c>
      <c r="E11" s="237"/>
      <c r="F11" s="243"/>
      <c r="G11" s="237"/>
      <c r="H11" s="153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69.75">
      <c r="A12" s="155" t="s">
        <v>12</v>
      </c>
      <c r="B12" s="156" t="s">
        <v>20</v>
      </c>
      <c r="C12" s="157"/>
      <c r="D12" s="157"/>
      <c r="E12" s="158"/>
      <c r="F12" s="158"/>
      <c r="G12" s="158"/>
      <c r="H12" s="153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1" ht="23.25">
      <c r="A13" s="159" t="s">
        <v>13</v>
      </c>
      <c r="B13" s="156" t="s">
        <v>10</v>
      </c>
      <c r="C13" s="160">
        <v>1.09</v>
      </c>
      <c r="D13" s="160">
        <v>1.14</v>
      </c>
      <c r="E13" s="158">
        <f aca="true" t="shared" si="0" ref="E13:E18">AC13*AD13*6</f>
        <v>34935.18</v>
      </c>
      <c r="F13" s="158">
        <f>E13</f>
        <v>34935.18</v>
      </c>
      <c r="G13" s="158">
        <f aca="true" t="shared" si="1" ref="G13:G18">AC13*AE13*12</f>
        <v>35718.479999999996</v>
      </c>
      <c r="H13" s="161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2611</v>
      </c>
      <c r="K13">
        <v>6</v>
      </c>
      <c r="L13">
        <v>2</v>
      </c>
      <c r="M13">
        <v>4</v>
      </c>
      <c r="N13" s="20">
        <f aca="true" t="shared" si="4" ref="N13:N18">C13*J13*K13</f>
        <v>17075.940000000002</v>
      </c>
      <c r="O13" s="20" t="e">
        <f>J13*#REF!*L13</f>
        <v>#REF!</v>
      </c>
      <c r="P13" s="20">
        <f aca="true" t="shared" si="5" ref="P13:P18">D13*J13*M13</f>
        <v>11906.16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16449.300000000003</v>
      </c>
      <c r="W13">
        <f aca="true" t="shared" si="8" ref="W13:W18">U13*S13*J13</f>
        <v>17075.940000000002</v>
      </c>
      <c r="X13">
        <f aca="true" t="shared" si="9" ref="X13:X18">SUM(V13:W13)</f>
        <v>33525.240000000005</v>
      </c>
      <c r="AC13" s="69">
        <f>C7</f>
        <v>2611</v>
      </c>
      <c r="AD13" s="22">
        <f aca="true" t="shared" si="10" ref="AD13:AD18">C13+D13</f>
        <v>2.23</v>
      </c>
      <c r="AE13" s="34">
        <v>1.14</v>
      </c>
    </row>
    <row r="14" spans="1:31" ht="46.5">
      <c r="A14" s="159" t="s">
        <v>14</v>
      </c>
      <c r="B14" s="156" t="s">
        <v>15</v>
      </c>
      <c r="C14" s="160">
        <v>1.39</v>
      </c>
      <c r="D14" s="160">
        <v>1.46</v>
      </c>
      <c r="E14" s="158">
        <f t="shared" si="0"/>
        <v>44648.1</v>
      </c>
      <c r="F14" s="158">
        <f>E14</f>
        <v>44648.1</v>
      </c>
      <c r="G14" s="158">
        <f t="shared" si="1"/>
        <v>45744.72</v>
      </c>
      <c r="H14" s="161">
        <f t="shared" si="2"/>
        <v>1.4594110115189</v>
      </c>
      <c r="I14" s="18">
        <f t="shared" si="3"/>
        <v>1.5572983354607999</v>
      </c>
      <c r="J14" s="19">
        <f>J13</f>
        <v>2611</v>
      </c>
      <c r="K14">
        <v>6</v>
      </c>
      <c r="L14">
        <v>2</v>
      </c>
      <c r="M14">
        <v>4</v>
      </c>
      <c r="N14" s="20">
        <f t="shared" si="4"/>
        <v>21775.739999999998</v>
      </c>
      <c r="O14" s="20" t="e">
        <f>J14*#REF!*L14</f>
        <v>#REF!</v>
      </c>
      <c r="P14" s="20">
        <f t="shared" si="5"/>
        <v>15248.24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20835.78</v>
      </c>
      <c r="W14">
        <f t="shared" si="8"/>
        <v>21775.739999999998</v>
      </c>
      <c r="X14">
        <f t="shared" si="9"/>
        <v>42611.52</v>
      </c>
      <c r="AC14">
        <f>AC13</f>
        <v>2611</v>
      </c>
      <c r="AD14" s="22">
        <f t="shared" si="10"/>
        <v>2.8499999999999996</v>
      </c>
      <c r="AE14" s="34">
        <v>1.46</v>
      </c>
    </row>
    <row r="15" spans="1:31" ht="23.25">
      <c r="A15" s="159" t="s">
        <v>16</v>
      </c>
      <c r="B15" s="156" t="s">
        <v>7</v>
      </c>
      <c r="C15" s="160"/>
      <c r="D15" s="160"/>
      <c r="E15" s="158"/>
      <c r="F15" s="158"/>
      <c r="G15" s="158"/>
      <c r="H15" s="161">
        <f t="shared" si="2"/>
        <v>0</v>
      </c>
      <c r="I15" s="18">
        <f t="shared" si="3"/>
        <v>0</v>
      </c>
      <c r="J15" s="19">
        <f>J14</f>
        <v>2611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2036.58</v>
      </c>
      <c r="W15">
        <f t="shared" si="8"/>
        <v>0</v>
      </c>
      <c r="X15">
        <f t="shared" si="9"/>
        <v>2036.58</v>
      </c>
      <c r="AC15">
        <f>AC14</f>
        <v>2611</v>
      </c>
      <c r="AD15" s="22">
        <f t="shared" si="10"/>
        <v>0</v>
      </c>
      <c r="AE15" s="34">
        <v>0</v>
      </c>
    </row>
    <row r="16" spans="1:31" ht="23.25">
      <c r="A16" s="159" t="s">
        <v>21</v>
      </c>
      <c r="B16" s="156" t="s">
        <v>11</v>
      </c>
      <c r="C16" s="160">
        <v>0.82</v>
      </c>
      <c r="D16" s="160">
        <v>0.58</v>
      </c>
      <c r="E16" s="158">
        <f t="shared" si="0"/>
        <v>21932.399999999998</v>
      </c>
      <c r="F16" s="158">
        <f>E16</f>
        <v>21932.399999999998</v>
      </c>
      <c r="G16" s="158">
        <f t="shared" si="1"/>
        <v>18172.559999999998</v>
      </c>
      <c r="H16" s="161">
        <f t="shared" si="2"/>
        <v>0.8609475031982</v>
      </c>
      <c r="I16" s="18">
        <f t="shared" si="3"/>
        <v>0.9186939820703999</v>
      </c>
      <c r="J16" s="19">
        <f>J15</f>
        <v>2611</v>
      </c>
      <c r="K16">
        <v>6</v>
      </c>
      <c r="L16">
        <v>2</v>
      </c>
      <c r="M16">
        <v>4</v>
      </c>
      <c r="N16" s="20">
        <f t="shared" si="4"/>
        <v>12846.119999999999</v>
      </c>
      <c r="O16" s="20" t="e">
        <f>J16*#REF!*L16</f>
        <v>#REF!</v>
      </c>
      <c r="P16" s="20">
        <f t="shared" si="5"/>
        <v>6057.5199999999995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12376.14</v>
      </c>
      <c r="W16">
        <f t="shared" si="8"/>
        <v>12846.119999999999</v>
      </c>
      <c r="X16">
        <f t="shared" si="9"/>
        <v>25222.26</v>
      </c>
      <c r="AC16">
        <f>AC15</f>
        <v>2611</v>
      </c>
      <c r="AD16" s="22">
        <f t="shared" si="10"/>
        <v>1.4</v>
      </c>
      <c r="AE16" s="34">
        <v>0.58</v>
      </c>
    </row>
    <row r="17" spans="1:31" ht="23.25">
      <c r="A17" s="159" t="s">
        <v>22</v>
      </c>
      <c r="B17" s="156" t="s">
        <v>19</v>
      </c>
      <c r="C17" s="160">
        <v>1.24</v>
      </c>
      <c r="D17" s="160">
        <v>1.24</v>
      </c>
      <c r="E17" s="158">
        <f t="shared" si="0"/>
        <v>38851.68</v>
      </c>
      <c r="F17" s="158">
        <f>E17</f>
        <v>38851.68</v>
      </c>
      <c r="G17" s="158">
        <f t="shared" si="1"/>
        <v>38851.68</v>
      </c>
      <c r="H17" s="161">
        <f t="shared" si="2"/>
        <v>1.3019206145924</v>
      </c>
      <c r="I17" s="18">
        <f t="shared" si="3"/>
        <v>1.3892445582528</v>
      </c>
      <c r="J17" s="19">
        <f>J16</f>
        <v>2611</v>
      </c>
      <c r="K17">
        <v>6</v>
      </c>
      <c r="L17">
        <v>2</v>
      </c>
      <c r="M17">
        <v>4</v>
      </c>
      <c r="N17" s="20">
        <f t="shared" si="4"/>
        <v>19425.84</v>
      </c>
      <c r="O17" s="20" t="e">
        <f>J17*#REF!*L17</f>
        <v>#REF!</v>
      </c>
      <c r="P17" s="20">
        <f t="shared" si="5"/>
        <v>12950.56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19425.84</v>
      </c>
      <c r="W17">
        <f t="shared" si="8"/>
        <v>19425.84</v>
      </c>
      <c r="X17">
        <f t="shared" si="9"/>
        <v>38851.68</v>
      </c>
      <c r="AC17">
        <f>AC16</f>
        <v>2611</v>
      </c>
      <c r="AD17" s="22">
        <f t="shared" si="10"/>
        <v>2.48</v>
      </c>
      <c r="AE17" s="34">
        <v>1.24</v>
      </c>
    </row>
    <row r="18" spans="1:31" ht="75" customHeight="1">
      <c r="A18" s="159" t="s">
        <v>23</v>
      </c>
      <c r="B18" s="156" t="s">
        <v>24</v>
      </c>
      <c r="C18" s="160">
        <v>4.47</v>
      </c>
      <c r="D18" s="160">
        <v>5.18</v>
      </c>
      <c r="E18" s="158">
        <f t="shared" si="0"/>
        <v>151176.9</v>
      </c>
      <c r="F18" s="162">
        <f>F20+F22+F23+F25+F26+F28+F29+F31+F32+F34+F36+F38+F39+F41+F43+F44+F45+F47+F48+F50+F51</f>
        <v>164604.05</v>
      </c>
      <c r="G18" s="158">
        <f t="shared" si="1"/>
        <v>162299.76</v>
      </c>
      <c r="H18" s="161">
        <f t="shared" si="2"/>
        <v>4.6932138284097</v>
      </c>
      <c r="I18" s="18">
        <f t="shared" si="3"/>
        <v>5.008002560798399</v>
      </c>
      <c r="J18" s="19">
        <f>J17</f>
        <v>2611</v>
      </c>
      <c r="K18">
        <v>6</v>
      </c>
      <c r="L18">
        <v>2</v>
      </c>
      <c r="M18">
        <v>4</v>
      </c>
      <c r="N18" s="20">
        <f t="shared" si="4"/>
        <v>70027.02</v>
      </c>
      <c r="O18" s="20" t="e">
        <f>J18*#REF!*L18</f>
        <v>#REF!</v>
      </c>
      <c r="P18" s="20">
        <f t="shared" si="5"/>
        <v>54099.92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65953.86</v>
      </c>
      <c r="W18">
        <f t="shared" si="8"/>
        <v>72376.92</v>
      </c>
      <c r="X18">
        <f t="shared" si="9"/>
        <v>138330.78</v>
      </c>
      <c r="AC18">
        <f>AC17</f>
        <v>2611</v>
      </c>
      <c r="AD18" s="22">
        <f t="shared" si="10"/>
        <v>9.649999999999999</v>
      </c>
      <c r="AE18" s="34">
        <v>5.18</v>
      </c>
    </row>
    <row r="19" spans="1:19" ht="23.25">
      <c r="A19" s="159"/>
      <c r="B19" s="158" t="s">
        <v>75</v>
      </c>
      <c r="C19" s="157"/>
      <c r="D19" s="157"/>
      <c r="E19" s="158"/>
      <c r="F19" s="162"/>
      <c r="G19" s="158"/>
      <c r="H19" s="161"/>
      <c r="I19" s="18"/>
      <c r="J19" s="19"/>
      <c r="N19" s="20"/>
      <c r="O19" s="20"/>
      <c r="P19" s="20"/>
      <c r="Q19" s="21"/>
      <c r="R19" s="22"/>
      <c r="S19" s="22"/>
    </row>
    <row r="20" spans="1:19" ht="46.5">
      <c r="A20" s="159"/>
      <c r="B20" s="156" t="s">
        <v>575</v>
      </c>
      <c r="C20" s="157"/>
      <c r="D20" s="157"/>
      <c r="E20" s="158"/>
      <c r="F20" s="162">
        <v>3895.32</v>
      </c>
      <c r="G20" s="158"/>
      <c r="H20" s="161"/>
      <c r="I20" s="18"/>
      <c r="J20" s="19"/>
      <c r="N20" s="20"/>
      <c r="O20" s="20"/>
      <c r="P20" s="20"/>
      <c r="Q20" s="21"/>
      <c r="R20" s="22"/>
      <c r="S20" s="22"/>
    </row>
    <row r="21" spans="1:19" ht="18.75" customHeight="1">
      <c r="A21" s="159"/>
      <c r="B21" s="158" t="s">
        <v>88</v>
      </c>
      <c r="C21" s="157"/>
      <c r="D21" s="157"/>
      <c r="E21" s="158"/>
      <c r="F21" s="162"/>
      <c r="G21" s="158"/>
      <c r="H21" s="161"/>
      <c r="I21" s="18"/>
      <c r="J21" s="19"/>
      <c r="N21" s="20"/>
      <c r="O21" s="20"/>
      <c r="P21" s="20"/>
      <c r="Q21" s="21"/>
      <c r="R21" s="22"/>
      <c r="S21" s="22"/>
    </row>
    <row r="22" spans="1:29" ht="24.75" customHeight="1">
      <c r="A22" s="159"/>
      <c r="B22" s="156" t="s">
        <v>576</v>
      </c>
      <c r="C22" s="157"/>
      <c r="D22" s="157"/>
      <c r="E22" s="158"/>
      <c r="F22" s="162">
        <v>2596.88</v>
      </c>
      <c r="G22" s="158"/>
      <c r="H22" s="161"/>
      <c r="I22" s="18"/>
      <c r="J22" s="19"/>
      <c r="N22" s="20"/>
      <c r="O22" s="20"/>
      <c r="P22" s="20"/>
      <c r="Q22" s="21"/>
      <c r="R22" s="22"/>
      <c r="S22" s="22"/>
      <c r="AC22" s="69" t="e">
        <f>F22+#REF!+F23</f>
        <v>#REF!</v>
      </c>
    </row>
    <row r="23" spans="1:19" ht="46.5">
      <c r="A23" s="159"/>
      <c r="B23" s="156" t="s">
        <v>577</v>
      </c>
      <c r="C23" s="157"/>
      <c r="D23" s="157"/>
      <c r="E23" s="158"/>
      <c r="F23" s="162">
        <v>1600.2</v>
      </c>
      <c r="G23" s="162"/>
      <c r="H23" s="161"/>
      <c r="I23" s="18"/>
      <c r="J23" s="19"/>
      <c r="N23" s="20"/>
      <c r="O23" s="20"/>
      <c r="P23" s="20"/>
      <c r="Q23" s="21"/>
      <c r="R23" s="22"/>
      <c r="S23" s="22"/>
    </row>
    <row r="24" spans="1:19" ht="23.25">
      <c r="A24" s="159"/>
      <c r="B24" s="158" t="s">
        <v>89</v>
      </c>
      <c r="C24" s="157"/>
      <c r="D24" s="157"/>
      <c r="E24" s="158"/>
      <c r="F24" s="162"/>
      <c r="G24" s="158"/>
      <c r="H24" s="161"/>
      <c r="I24" s="18"/>
      <c r="J24" s="19"/>
      <c r="N24" s="20"/>
      <c r="O24" s="20"/>
      <c r="P24" s="20"/>
      <c r="Q24" s="21"/>
      <c r="R24" s="22"/>
      <c r="S24" s="22"/>
    </row>
    <row r="25" spans="1:29" ht="46.5">
      <c r="A25" s="159"/>
      <c r="B25" s="156" t="s">
        <v>578</v>
      </c>
      <c r="C25" s="157"/>
      <c r="D25" s="157"/>
      <c r="E25" s="158"/>
      <c r="F25" s="162">
        <v>5166.3</v>
      </c>
      <c r="G25" s="158"/>
      <c r="H25" s="161"/>
      <c r="I25" s="18"/>
      <c r="J25" s="19"/>
      <c r="N25" s="20"/>
      <c r="O25" s="20"/>
      <c r="P25" s="20"/>
      <c r="Q25" s="21"/>
      <c r="R25" s="22"/>
      <c r="S25" s="22"/>
      <c r="AC25" s="69">
        <f>F25</f>
        <v>5166.3</v>
      </c>
    </row>
    <row r="26" spans="1:29" ht="23.25">
      <c r="A26" s="159"/>
      <c r="B26" s="156" t="s">
        <v>536</v>
      </c>
      <c r="C26" s="157"/>
      <c r="D26" s="157"/>
      <c r="E26" s="158"/>
      <c r="F26" s="162">
        <v>369.28</v>
      </c>
      <c r="G26" s="158"/>
      <c r="H26" s="161"/>
      <c r="I26" s="18"/>
      <c r="J26" s="19"/>
      <c r="N26" s="20"/>
      <c r="O26" s="20"/>
      <c r="P26" s="20"/>
      <c r="Q26" s="21"/>
      <c r="R26" s="22"/>
      <c r="S26" s="22"/>
      <c r="AC26" s="69"/>
    </row>
    <row r="27" spans="1:19" ht="23.25">
      <c r="A27" s="159"/>
      <c r="B27" s="158" t="s">
        <v>90</v>
      </c>
      <c r="C27" s="157"/>
      <c r="D27" s="157"/>
      <c r="E27" s="158"/>
      <c r="F27" s="162"/>
      <c r="G27" s="158"/>
      <c r="H27" s="161"/>
      <c r="I27" s="18"/>
      <c r="J27" s="19"/>
      <c r="N27" s="20"/>
      <c r="O27" s="20"/>
      <c r="P27" s="20"/>
      <c r="Q27" s="21"/>
      <c r="R27" s="22"/>
      <c r="S27" s="22"/>
    </row>
    <row r="28" spans="1:29" ht="46.5">
      <c r="A28" s="155"/>
      <c r="B28" s="156" t="s">
        <v>579</v>
      </c>
      <c r="C28" s="157"/>
      <c r="D28" s="157"/>
      <c r="E28" s="158"/>
      <c r="F28" s="162">
        <v>6654.79</v>
      </c>
      <c r="G28" s="158"/>
      <c r="H28" s="161"/>
      <c r="I28" s="18"/>
      <c r="J28" s="19"/>
      <c r="K28">
        <v>6</v>
      </c>
      <c r="L28">
        <v>2</v>
      </c>
      <c r="M28">
        <v>4</v>
      </c>
      <c r="N28" s="20">
        <f>C28*J28*K28</f>
        <v>0</v>
      </c>
      <c r="O28" s="20" t="e">
        <f>J28*#REF!*L28</f>
        <v>#REF!</v>
      </c>
      <c r="P28" s="20">
        <f>D28*J28*M28</f>
        <v>0</v>
      </c>
      <c r="Q28" s="24"/>
      <c r="R28" s="22"/>
      <c r="V28">
        <f>J28*R28*U28</f>
        <v>0</v>
      </c>
      <c r="W28">
        <f>U28*S28*J28</f>
        <v>0</v>
      </c>
      <c r="X28">
        <f>SUM(V28:W28)</f>
        <v>0</v>
      </c>
      <c r="AC28" s="69">
        <f>F28</f>
        <v>6654.79</v>
      </c>
    </row>
    <row r="29" spans="1:29" ht="23.25">
      <c r="A29" s="155"/>
      <c r="B29" s="156" t="s">
        <v>580</v>
      </c>
      <c r="C29" s="157"/>
      <c r="D29" s="157"/>
      <c r="E29" s="158"/>
      <c r="F29" s="162">
        <v>433.02</v>
      </c>
      <c r="G29" s="158"/>
      <c r="H29" s="161"/>
      <c r="I29" s="18"/>
      <c r="J29" s="19"/>
      <c r="N29" s="20"/>
      <c r="O29" s="20"/>
      <c r="P29" s="20"/>
      <c r="Q29" s="24"/>
      <c r="R29" s="22"/>
      <c r="AC29" s="69"/>
    </row>
    <row r="30" spans="1:29" ht="23.25">
      <c r="A30" s="155"/>
      <c r="B30" s="158" t="s">
        <v>539</v>
      </c>
      <c r="C30" s="157"/>
      <c r="D30" s="157"/>
      <c r="E30" s="158"/>
      <c r="F30" s="162"/>
      <c r="G30" s="158"/>
      <c r="H30" s="161"/>
      <c r="I30" s="18"/>
      <c r="J30" s="19"/>
      <c r="N30" s="20"/>
      <c r="O30" s="20"/>
      <c r="P30" s="20"/>
      <c r="Q30" s="24"/>
      <c r="R30" s="22"/>
      <c r="AC30" s="69"/>
    </row>
    <row r="31" spans="1:29" ht="47.25" customHeight="1">
      <c r="A31" s="155"/>
      <c r="B31" s="156" t="s">
        <v>581</v>
      </c>
      <c r="C31" s="157"/>
      <c r="D31" s="157"/>
      <c r="E31" s="158"/>
      <c r="F31" s="162">
        <v>19932.77</v>
      </c>
      <c r="G31" s="158"/>
      <c r="H31" s="161"/>
      <c r="I31" s="18"/>
      <c r="J31" s="19"/>
      <c r="N31" s="20"/>
      <c r="O31" s="20"/>
      <c r="P31" s="20"/>
      <c r="Q31" s="24"/>
      <c r="R31" s="22"/>
      <c r="AC31" s="69"/>
    </row>
    <row r="32" spans="1:29" ht="48.75" customHeight="1">
      <c r="A32" s="155"/>
      <c r="B32" s="156" t="s">
        <v>582</v>
      </c>
      <c r="C32" s="157"/>
      <c r="D32" s="157"/>
      <c r="E32" s="158"/>
      <c r="F32" s="162">
        <v>4212.53</v>
      </c>
      <c r="G32" s="158"/>
      <c r="H32" s="161"/>
      <c r="I32" s="18"/>
      <c r="J32" s="19"/>
      <c r="N32" s="20"/>
      <c r="O32" s="20"/>
      <c r="P32" s="20"/>
      <c r="Q32" s="24"/>
      <c r="R32" s="22"/>
      <c r="AC32" s="69"/>
    </row>
    <row r="33" spans="1:24" ht="23.25">
      <c r="A33" s="159"/>
      <c r="B33" s="158" t="s">
        <v>92</v>
      </c>
      <c r="C33" s="157"/>
      <c r="D33" s="157"/>
      <c r="E33" s="158"/>
      <c r="F33" s="162"/>
      <c r="G33" s="158"/>
      <c r="H33" s="161"/>
      <c r="I33" s="18"/>
      <c r="J33" s="19"/>
      <c r="K33">
        <v>6</v>
      </c>
      <c r="L33">
        <v>2</v>
      </c>
      <c r="M33">
        <v>4</v>
      </c>
      <c r="N33" s="20">
        <f>C33*J33*K33</f>
        <v>0</v>
      </c>
      <c r="O33" s="20" t="e">
        <f>J33*#REF!*L33</f>
        <v>#REF!</v>
      </c>
      <c r="P33" s="20">
        <f>D33*J33*M33</f>
        <v>0</v>
      </c>
      <c r="Q33" s="24"/>
      <c r="R33" s="22"/>
      <c r="V33">
        <f>J33*R33*U33</f>
        <v>0</v>
      </c>
      <c r="W33">
        <f>U33*S33*J33</f>
        <v>0</v>
      </c>
      <c r="X33">
        <f>SUM(V33:W33)</f>
        <v>0</v>
      </c>
    </row>
    <row r="34" spans="1:29" ht="46.5">
      <c r="A34" s="159"/>
      <c r="B34" s="156" t="s">
        <v>583</v>
      </c>
      <c r="C34" s="157"/>
      <c r="D34" s="157"/>
      <c r="E34" s="158"/>
      <c r="F34" s="162">
        <v>9553.42</v>
      </c>
      <c r="G34" s="158"/>
      <c r="H34" s="161"/>
      <c r="I34" s="18"/>
      <c r="J34" s="19"/>
      <c r="N34" s="20"/>
      <c r="O34" s="20"/>
      <c r="P34" s="20"/>
      <c r="Q34" s="24"/>
      <c r="R34" s="22"/>
      <c r="AC34" s="69">
        <f>F34</f>
        <v>9553.42</v>
      </c>
    </row>
    <row r="35" spans="1:18" ht="23.25">
      <c r="A35" s="159"/>
      <c r="B35" s="158" t="s">
        <v>93</v>
      </c>
      <c r="C35" s="157"/>
      <c r="D35" s="157"/>
      <c r="E35" s="158"/>
      <c r="F35" s="162"/>
      <c r="G35" s="158"/>
      <c r="H35" s="161"/>
      <c r="I35" s="18"/>
      <c r="J35" s="19"/>
      <c r="N35" s="20"/>
      <c r="O35" s="20"/>
      <c r="P35" s="20"/>
      <c r="Q35" s="24"/>
      <c r="R35" s="22"/>
    </row>
    <row r="36" spans="1:18" ht="23.25">
      <c r="A36" s="159"/>
      <c r="B36" s="163" t="s">
        <v>584</v>
      </c>
      <c r="C36" s="157"/>
      <c r="D36" s="157"/>
      <c r="E36" s="158"/>
      <c r="F36" s="162">
        <v>213.29</v>
      </c>
      <c r="G36" s="158"/>
      <c r="H36" s="161"/>
      <c r="I36" s="18"/>
      <c r="J36" s="19"/>
      <c r="N36" s="20"/>
      <c r="O36" s="20"/>
      <c r="P36" s="20"/>
      <c r="Q36" s="24"/>
      <c r="R36" s="22"/>
    </row>
    <row r="37" spans="1:18" ht="23.25">
      <c r="A37" s="159"/>
      <c r="B37" s="158" t="s">
        <v>94</v>
      </c>
      <c r="C37" s="157"/>
      <c r="D37" s="157"/>
      <c r="E37" s="158"/>
      <c r="F37" s="162"/>
      <c r="G37" s="158"/>
      <c r="H37" s="161"/>
      <c r="I37" s="18"/>
      <c r="J37" s="19"/>
      <c r="N37" s="20"/>
      <c r="O37" s="20"/>
      <c r="P37" s="20"/>
      <c r="Q37" s="24"/>
      <c r="R37" s="22"/>
    </row>
    <row r="38" spans="1:29" ht="48.75" customHeight="1">
      <c r="A38" s="159"/>
      <c r="B38" s="163" t="s">
        <v>585</v>
      </c>
      <c r="C38" s="157"/>
      <c r="D38" s="157"/>
      <c r="E38" s="158"/>
      <c r="F38" s="162">
        <v>32841.34</v>
      </c>
      <c r="G38" s="158"/>
      <c r="H38" s="161"/>
      <c r="I38" s="18"/>
      <c r="J38" s="19"/>
      <c r="N38" s="20"/>
      <c r="O38" s="20"/>
      <c r="P38" s="20"/>
      <c r="Q38" s="24"/>
      <c r="R38" s="22"/>
      <c r="AC38" s="69" t="e">
        <f>F38+#REF!+F39+#REF!+#REF!</f>
        <v>#REF!</v>
      </c>
    </row>
    <row r="39" spans="1:18" ht="23.25">
      <c r="A39" s="159"/>
      <c r="B39" s="163" t="s">
        <v>584</v>
      </c>
      <c r="C39" s="157"/>
      <c r="D39" s="157"/>
      <c r="E39" s="158"/>
      <c r="F39" s="162">
        <v>220.93</v>
      </c>
      <c r="G39" s="158"/>
      <c r="H39" s="161"/>
      <c r="I39" s="18"/>
      <c r="J39" s="19"/>
      <c r="N39" s="20"/>
      <c r="O39" s="20"/>
      <c r="P39" s="20"/>
      <c r="Q39" s="24"/>
      <c r="R39" s="22"/>
    </row>
    <row r="40" spans="1:18" ht="23.25">
      <c r="A40" s="159"/>
      <c r="B40" s="158" t="s">
        <v>98</v>
      </c>
      <c r="C40" s="157"/>
      <c r="D40" s="157"/>
      <c r="E40" s="158"/>
      <c r="F40" s="162"/>
      <c r="G40" s="158"/>
      <c r="H40" s="161"/>
      <c r="I40" s="18"/>
      <c r="J40" s="19"/>
      <c r="N40" s="20"/>
      <c r="O40" s="20"/>
      <c r="P40" s="20"/>
      <c r="Q40" s="24"/>
      <c r="R40" s="22"/>
    </row>
    <row r="41" spans="1:29" ht="69.75">
      <c r="A41" s="159"/>
      <c r="B41" s="163" t="s">
        <v>586</v>
      </c>
      <c r="C41" s="157"/>
      <c r="D41" s="157"/>
      <c r="E41" s="158"/>
      <c r="F41" s="162">
        <v>7636.1</v>
      </c>
      <c r="G41" s="158"/>
      <c r="H41" s="161"/>
      <c r="I41" s="18"/>
      <c r="J41" s="19"/>
      <c r="N41" s="20"/>
      <c r="O41" s="20"/>
      <c r="P41" s="20"/>
      <c r="Q41" s="24"/>
      <c r="R41" s="22"/>
      <c r="AC41" s="69">
        <f>F41</f>
        <v>7636.1</v>
      </c>
    </row>
    <row r="42" spans="1:18" ht="23.25">
      <c r="A42" s="159"/>
      <c r="B42" s="158" t="s">
        <v>95</v>
      </c>
      <c r="C42" s="157"/>
      <c r="D42" s="157"/>
      <c r="E42" s="158"/>
      <c r="F42" s="162"/>
      <c r="G42" s="158"/>
      <c r="H42" s="161"/>
      <c r="I42" s="18"/>
      <c r="J42" s="19"/>
      <c r="N42" s="20"/>
      <c r="O42" s="20"/>
      <c r="P42" s="20"/>
      <c r="Q42" s="24"/>
      <c r="R42" s="22"/>
    </row>
    <row r="43" spans="1:29" ht="69" customHeight="1">
      <c r="A43" s="159"/>
      <c r="B43" s="163" t="s">
        <v>587</v>
      </c>
      <c r="C43" s="157"/>
      <c r="D43" s="157"/>
      <c r="E43" s="158"/>
      <c r="F43" s="162">
        <v>18746.58</v>
      </c>
      <c r="G43" s="158"/>
      <c r="H43" s="161"/>
      <c r="I43" s="18"/>
      <c r="J43" s="19"/>
      <c r="N43" s="20"/>
      <c r="O43" s="20"/>
      <c r="P43" s="20"/>
      <c r="Q43" s="24"/>
      <c r="R43" s="22"/>
      <c r="AC43" s="69">
        <f>F43+F44</f>
        <v>19032.390000000003</v>
      </c>
    </row>
    <row r="44" spans="1:18" ht="23.25">
      <c r="A44" s="159"/>
      <c r="B44" s="163" t="s">
        <v>588</v>
      </c>
      <c r="C44" s="157"/>
      <c r="D44" s="157"/>
      <c r="E44" s="158"/>
      <c r="F44" s="162">
        <v>285.81</v>
      </c>
      <c r="G44" s="158"/>
      <c r="H44" s="161"/>
      <c r="I44" s="18"/>
      <c r="J44" s="19"/>
      <c r="N44" s="20"/>
      <c r="O44" s="20"/>
      <c r="P44" s="20"/>
      <c r="Q44" s="24"/>
      <c r="R44" s="22"/>
    </row>
    <row r="45" spans="1:18" ht="23.25">
      <c r="A45" s="159"/>
      <c r="B45" s="163" t="s">
        <v>589</v>
      </c>
      <c r="C45" s="157"/>
      <c r="D45" s="157"/>
      <c r="E45" s="158"/>
      <c r="F45" s="162">
        <v>31113.33</v>
      </c>
      <c r="G45" s="158"/>
      <c r="H45" s="161"/>
      <c r="I45" s="18"/>
      <c r="J45" s="19"/>
      <c r="N45" s="20"/>
      <c r="O45" s="20"/>
      <c r="P45" s="20"/>
      <c r="Q45" s="24"/>
      <c r="R45" s="22"/>
    </row>
    <row r="46" spans="1:18" ht="23.25">
      <c r="A46" s="159"/>
      <c r="B46" s="158" t="s">
        <v>96</v>
      </c>
      <c r="C46" s="157"/>
      <c r="D46" s="157"/>
      <c r="E46" s="158"/>
      <c r="F46" s="162"/>
      <c r="G46" s="158"/>
      <c r="H46" s="161"/>
      <c r="I46" s="18"/>
      <c r="J46" s="19"/>
      <c r="N46" s="20"/>
      <c r="O46" s="20"/>
      <c r="P46" s="20"/>
      <c r="Q46" s="24"/>
      <c r="R46" s="22"/>
    </row>
    <row r="47" spans="1:29" ht="46.5">
      <c r="A47" s="159"/>
      <c r="B47" s="163" t="s">
        <v>590</v>
      </c>
      <c r="C47" s="157"/>
      <c r="D47" s="157"/>
      <c r="E47" s="158"/>
      <c r="F47" s="162">
        <v>9455.92</v>
      </c>
      <c r="G47" s="158"/>
      <c r="H47" s="161"/>
      <c r="I47" s="18"/>
      <c r="J47" s="19"/>
      <c r="N47" s="20"/>
      <c r="O47" s="20"/>
      <c r="P47" s="20"/>
      <c r="Q47" s="24"/>
      <c r="R47" s="22"/>
      <c r="AC47" s="69">
        <f>F47+F48</f>
        <v>9760.460000000001</v>
      </c>
    </row>
    <row r="48" spans="1:18" ht="23.25">
      <c r="A48" s="159"/>
      <c r="B48" s="163" t="s">
        <v>591</v>
      </c>
      <c r="C48" s="157"/>
      <c r="D48" s="157"/>
      <c r="E48" s="158"/>
      <c r="F48" s="162">
        <v>304.54</v>
      </c>
      <c r="G48" s="158"/>
      <c r="H48" s="161"/>
      <c r="I48" s="18"/>
      <c r="J48" s="19"/>
      <c r="N48" s="20"/>
      <c r="O48" s="20"/>
      <c r="P48" s="20"/>
      <c r="Q48" s="24"/>
      <c r="R48" s="22"/>
    </row>
    <row r="49" spans="1:18" ht="23.25">
      <c r="A49" s="159"/>
      <c r="B49" s="158" t="s">
        <v>97</v>
      </c>
      <c r="C49" s="157"/>
      <c r="D49" s="157"/>
      <c r="E49" s="158"/>
      <c r="F49" s="162"/>
      <c r="G49" s="158"/>
      <c r="H49" s="161"/>
      <c r="I49" s="18"/>
      <c r="J49" s="19"/>
      <c r="N49" s="20"/>
      <c r="O49" s="20"/>
      <c r="P49" s="20"/>
      <c r="Q49" s="24"/>
      <c r="R49" s="22"/>
    </row>
    <row r="50" spans="1:29" ht="46.5">
      <c r="A50" s="159"/>
      <c r="B50" s="163" t="s">
        <v>592</v>
      </c>
      <c r="C50" s="157"/>
      <c r="D50" s="157"/>
      <c r="E50" s="158"/>
      <c r="F50" s="162">
        <v>8815.62</v>
      </c>
      <c r="G50" s="158"/>
      <c r="H50" s="161"/>
      <c r="I50" s="18"/>
      <c r="J50" s="19"/>
      <c r="N50" s="20"/>
      <c r="O50" s="20"/>
      <c r="P50" s="20"/>
      <c r="Q50" s="24"/>
      <c r="R50" s="22"/>
      <c r="AC50" s="69">
        <f>F50+F51</f>
        <v>9371.7</v>
      </c>
    </row>
    <row r="51" spans="1:18" ht="23.25">
      <c r="A51" s="159"/>
      <c r="B51" s="163" t="s">
        <v>593</v>
      </c>
      <c r="C51" s="157"/>
      <c r="D51" s="157"/>
      <c r="E51" s="158"/>
      <c r="F51" s="162">
        <v>556.08</v>
      </c>
      <c r="G51" s="158"/>
      <c r="H51" s="161"/>
      <c r="I51" s="18"/>
      <c r="J51" s="19"/>
      <c r="N51" s="20"/>
      <c r="O51" s="20"/>
      <c r="P51" s="20"/>
      <c r="Q51" s="24"/>
      <c r="R51" s="22"/>
    </row>
    <row r="52" spans="1:18" ht="38.25">
      <c r="A52" s="159"/>
      <c r="B52" s="14" t="s">
        <v>943</v>
      </c>
      <c r="C52" s="157"/>
      <c r="D52" s="157"/>
      <c r="E52" s="158">
        <v>-11059.99</v>
      </c>
      <c r="F52" s="162">
        <f>E52</f>
        <v>-11059.99</v>
      </c>
      <c r="G52" s="158"/>
      <c r="H52" s="161"/>
      <c r="I52" s="18"/>
      <c r="J52" s="19"/>
      <c r="N52" s="20"/>
      <c r="O52" s="20"/>
      <c r="P52" s="20"/>
      <c r="Q52" s="24"/>
      <c r="R52" s="22"/>
    </row>
    <row r="53" spans="1:24" ht="23.25">
      <c r="A53" s="153"/>
      <c r="B53" s="156" t="s">
        <v>9</v>
      </c>
      <c r="C53" s="157">
        <f>SUM(C13:C33)</f>
        <v>9.01</v>
      </c>
      <c r="D53" s="157">
        <f>SUM(D13:D33)</f>
        <v>9.6</v>
      </c>
      <c r="E53" s="158">
        <f>SUM(E13:E33)+E52</f>
        <v>280484.27</v>
      </c>
      <c r="F53" s="158">
        <f>F13+F14+F15+F16+F17+F18+F52</f>
        <v>293911.42</v>
      </c>
      <c r="G53" s="158">
        <f>G13+G14+G15+G16+G17+G18</f>
        <v>300787.2</v>
      </c>
      <c r="H53" s="161">
        <f>1.04993597951*C53</f>
        <v>9.4599231753851</v>
      </c>
      <c r="I53" s="18">
        <f>1.12035851472*C53</f>
        <v>10.094430217627199</v>
      </c>
      <c r="J53" s="19">
        <f>J18</f>
        <v>2611</v>
      </c>
      <c r="N53" s="20"/>
      <c r="Q53" s="24"/>
      <c r="R53" s="22">
        <f>SUM(R13:R33)</f>
        <v>8.75</v>
      </c>
      <c r="S53" s="22">
        <f>SUM(S13:S33)</f>
        <v>9.16</v>
      </c>
      <c r="T53" s="22"/>
      <c r="U53" s="22"/>
      <c r="V53" s="22">
        <f>SUM(V13:V33)</f>
        <v>137077.5</v>
      </c>
      <c r="W53" s="22">
        <f>SUM(W13:W33)</f>
        <v>143500.56</v>
      </c>
      <c r="X53" s="22">
        <f>SUM(X13:X33)</f>
        <v>280578.06</v>
      </c>
    </row>
    <row r="54" spans="1:35" ht="23.25">
      <c r="A54" s="155">
        <v>5</v>
      </c>
      <c r="B54" s="164" t="s">
        <v>26</v>
      </c>
      <c r="C54" s="165">
        <v>1.58</v>
      </c>
      <c r="D54" s="165">
        <v>1.85</v>
      </c>
      <c r="E54" s="166">
        <f>AG54*AH54*6</f>
        <v>53734.38</v>
      </c>
      <c r="F54" s="167">
        <f>E54</f>
        <v>53734.38</v>
      </c>
      <c r="G54" s="167">
        <f>AI54*12*AG54</f>
        <v>59217.479999999996</v>
      </c>
      <c r="H54" s="168" t="e">
        <f>#REF!</f>
        <v>#REF!</v>
      </c>
      <c r="I54" s="22">
        <f>C54+D54</f>
        <v>3.43</v>
      </c>
      <c r="J54" s="34">
        <v>3.43</v>
      </c>
      <c r="K54">
        <v>10</v>
      </c>
      <c r="L54">
        <v>2</v>
      </c>
      <c r="N54" s="20">
        <f>C54*J54*K54</f>
        <v>54.194</v>
      </c>
      <c r="O54" s="20" t="e">
        <f>#REF!*J54*L54</f>
        <v>#REF!</v>
      </c>
      <c r="P54" s="20" t="e">
        <f>SUM(N54:O54)</f>
        <v>#REF!</v>
      </c>
      <c r="Q54" s="21"/>
      <c r="R54" s="22">
        <v>1.47</v>
      </c>
      <c r="S54">
        <v>1.58</v>
      </c>
      <c r="T54">
        <v>6</v>
      </c>
      <c r="U54">
        <v>6</v>
      </c>
      <c r="V54">
        <f>R54*J54*T54</f>
        <v>30.2526</v>
      </c>
      <c r="W54">
        <f>S54*U54*J54</f>
        <v>32.516400000000004</v>
      </c>
      <c r="X54">
        <f>SUM(V54:W54)</f>
        <v>62.769000000000005</v>
      </c>
      <c r="AG54" s="69">
        <f>C7</f>
        <v>2611</v>
      </c>
      <c r="AH54">
        <f>C54+D54</f>
        <v>3.43</v>
      </c>
      <c r="AI54">
        <v>1.89</v>
      </c>
    </row>
    <row r="55" spans="1:17" ht="23.25">
      <c r="A55" s="151"/>
      <c r="B55" s="169"/>
      <c r="C55" s="170"/>
      <c r="D55" s="170"/>
      <c r="E55" s="170"/>
      <c r="F55" s="170"/>
      <c r="G55" s="170"/>
      <c r="H55" s="151"/>
      <c r="Q55" s="24"/>
    </row>
    <row r="56" spans="1:17" ht="23.25">
      <c r="A56" s="179" t="s">
        <v>941</v>
      </c>
      <c r="B56" s="179"/>
      <c r="C56" s="227">
        <v>14177.95</v>
      </c>
      <c r="D56" s="227"/>
      <c r="E56" s="146" t="s">
        <v>18</v>
      </c>
      <c r="F56" s="151"/>
      <c r="G56" s="151"/>
      <c r="H56" s="151"/>
      <c r="Q56" s="24"/>
    </row>
    <row r="57" spans="1:17" ht="23.25">
      <c r="A57" s="179" t="s">
        <v>942</v>
      </c>
      <c r="B57" s="179"/>
      <c r="C57" s="227">
        <v>14845.28</v>
      </c>
      <c r="D57" s="227"/>
      <c r="E57" s="146" t="s">
        <v>18</v>
      </c>
      <c r="F57" s="151"/>
      <c r="G57" s="151"/>
      <c r="H57" s="151"/>
      <c r="Q57" s="24"/>
    </row>
    <row r="58" spans="1:8" ht="23.25">
      <c r="A58" s="238" t="s">
        <v>17</v>
      </c>
      <c r="B58" s="238"/>
      <c r="C58" s="238"/>
      <c r="D58" s="238"/>
      <c r="E58" s="238"/>
      <c r="F58" s="238"/>
      <c r="G58" s="238"/>
      <c r="H58" s="151"/>
    </row>
    <row r="59" spans="1:8" ht="18.75" customHeight="1" hidden="1">
      <c r="A59" s="226" t="s">
        <v>35</v>
      </c>
      <c r="B59" s="226"/>
      <c r="C59" s="145" t="e">
        <f>C56-#REF!</f>
        <v>#REF!</v>
      </c>
      <c r="D59" s="151" t="s">
        <v>18</v>
      </c>
      <c r="E59" s="151"/>
      <c r="F59" s="151"/>
      <c r="G59" s="151"/>
      <c r="H59" s="151"/>
    </row>
    <row r="60" spans="1:8" ht="18.75" customHeight="1" hidden="1">
      <c r="A60" s="226" t="s">
        <v>36</v>
      </c>
      <c r="B60" s="226"/>
      <c r="C60" s="172">
        <f>E53-F53</f>
        <v>-13427.149999999965</v>
      </c>
      <c r="D60" s="171" t="str">
        <f>D59</f>
        <v>рублей</v>
      </c>
      <c r="E60" s="173"/>
      <c r="F60" s="173"/>
      <c r="G60" s="173"/>
      <c r="H60" s="174"/>
    </row>
    <row r="61" spans="1:8" ht="23.25">
      <c r="A61" s="173"/>
      <c r="B61" s="173"/>
      <c r="C61" s="173"/>
      <c r="D61" s="173"/>
      <c r="E61" s="173"/>
      <c r="F61" s="173"/>
      <c r="G61" s="173"/>
      <c r="H61" s="173"/>
    </row>
  </sheetData>
  <sheetProtection/>
  <mergeCells count="18">
    <mergeCell ref="A1:G2"/>
    <mergeCell ref="A3:G3"/>
    <mergeCell ref="A4:H5"/>
    <mergeCell ref="F9:F11"/>
    <mergeCell ref="G9:G11"/>
    <mergeCell ref="J9:Q12"/>
    <mergeCell ref="R9:X12"/>
    <mergeCell ref="A9:A11"/>
    <mergeCell ref="B9:B11"/>
    <mergeCell ref="C9:D10"/>
    <mergeCell ref="E9:E11"/>
    <mergeCell ref="A58:G58"/>
    <mergeCell ref="A59:B59"/>
    <mergeCell ref="A60:B60"/>
    <mergeCell ref="C56:D56"/>
    <mergeCell ref="C57:D57"/>
    <mergeCell ref="A56:B56"/>
    <mergeCell ref="A57:B5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  <rowBreaks count="1" manualBreakCount="1">
    <brk id="39" max="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AK62"/>
  <sheetViews>
    <sheetView view="pageBreakPreview" zoomScale="75" zoomScaleSheetLayoutView="75" zoomScalePageLayoutView="0" workbookViewId="0" topLeftCell="A40">
      <selection activeCell="F56" sqref="F56"/>
    </sheetView>
  </sheetViews>
  <sheetFormatPr defaultColWidth="9.00390625" defaultRowHeight="12.75"/>
  <cols>
    <col min="1" max="1" width="9.25390625" style="0" bestFit="1" customWidth="1"/>
    <col min="2" max="2" width="69.375" style="0" customWidth="1"/>
    <col min="3" max="3" width="11.25390625" style="0" customWidth="1"/>
    <col min="4" max="4" width="12.625" style="0" customWidth="1"/>
    <col min="5" max="5" width="14.00390625" style="0" customWidth="1"/>
    <col min="6" max="6" width="15.625" style="0" bestFit="1" customWidth="1"/>
    <col min="7" max="7" width="14.75390625" style="0" bestFit="1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1" width="9.25390625" style="0" hidden="1" customWidth="1"/>
    <col min="22" max="26" width="11.00390625" style="0" hidden="1" customWidth="1"/>
    <col min="27" max="34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39.75" customHeight="1">
      <c r="A3" s="182" t="s">
        <v>59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410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2625.3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18" t="s">
        <v>99</v>
      </c>
      <c r="F9" s="222" t="s">
        <v>74</v>
      </c>
      <c r="G9" s="218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63.75" customHeight="1">
      <c r="A10" s="212"/>
      <c r="B10" s="212"/>
      <c r="C10" s="216"/>
      <c r="D10" s="217"/>
      <c r="E10" s="219"/>
      <c r="F10" s="223"/>
      <c r="G10" s="219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77.25">
      <c r="A11" s="213"/>
      <c r="B11" s="213"/>
      <c r="C11" s="124" t="s">
        <v>107</v>
      </c>
      <c r="D11" s="124" t="s">
        <v>106</v>
      </c>
      <c r="E11" s="220"/>
      <c r="F11" s="224"/>
      <c r="G11" s="220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41.25" customHeight="1">
      <c r="A12" s="13" t="s">
        <v>12</v>
      </c>
      <c r="B12" s="14" t="s">
        <v>20</v>
      </c>
      <c r="C12" s="95"/>
      <c r="D12" s="95"/>
      <c r="E12" s="13"/>
      <c r="F12" s="13"/>
      <c r="G12" s="1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7" ht="18.75">
      <c r="A13" s="15" t="s">
        <v>13</v>
      </c>
      <c r="B13" s="14" t="s">
        <v>10</v>
      </c>
      <c r="C13" s="34">
        <v>1.09</v>
      </c>
      <c r="D13" s="34">
        <v>1.14</v>
      </c>
      <c r="E13" s="16">
        <f aca="true" t="shared" si="0" ref="E13:E18">AI13*AJ13*6</f>
        <v>35126.514</v>
      </c>
      <c r="F13" s="16">
        <f>E13</f>
        <v>35126.514</v>
      </c>
      <c r="G13" s="16">
        <f aca="true" t="shared" si="1" ref="G13:G18">AI13*AK13*12</f>
        <v>35914.104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2625.3</v>
      </c>
      <c r="K13">
        <v>6</v>
      </c>
      <c r="L13">
        <v>2</v>
      </c>
      <c r="M13">
        <v>4</v>
      </c>
      <c r="N13" s="20">
        <f aca="true" t="shared" si="4" ref="N13:N18">C13*J13*K13</f>
        <v>17169.462</v>
      </c>
      <c r="O13" s="20" t="e">
        <f>J13*#REF!*L13</f>
        <v>#REF!</v>
      </c>
      <c r="P13" s="20">
        <f aca="true" t="shared" si="5" ref="P13:P18">D13*J13*M13</f>
        <v>11971.368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16539.390000000003</v>
      </c>
      <c r="W13">
        <f aca="true" t="shared" si="8" ref="W13:W18">U13*S13*J13</f>
        <v>17169.462000000003</v>
      </c>
      <c r="X13">
        <f aca="true" t="shared" si="9" ref="X13:X18">SUM(V13:W13)</f>
        <v>33708.852000000006</v>
      </c>
      <c r="AI13" s="69">
        <f>C7</f>
        <v>2625.3</v>
      </c>
      <c r="AJ13" s="22">
        <f aca="true" t="shared" si="10" ref="AJ13:AJ18">C13+D13</f>
        <v>2.23</v>
      </c>
      <c r="AK13" s="34">
        <v>1.14</v>
      </c>
    </row>
    <row r="14" spans="1:37" ht="17.25" customHeight="1">
      <c r="A14" s="15" t="s">
        <v>14</v>
      </c>
      <c r="B14" s="14" t="s">
        <v>15</v>
      </c>
      <c r="C14" s="34">
        <v>1.39</v>
      </c>
      <c r="D14" s="34">
        <v>1.46</v>
      </c>
      <c r="E14" s="16">
        <f t="shared" si="0"/>
        <v>44892.63</v>
      </c>
      <c r="F14" s="16">
        <f>E14</f>
        <v>44892.63</v>
      </c>
      <c r="G14" s="16">
        <f t="shared" si="1"/>
        <v>45995.256</v>
      </c>
      <c r="H14" s="17">
        <f t="shared" si="2"/>
        <v>1.4594110115189</v>
      </c>
      <c r="I14" s="18">
        <f t="shared" si="3"/>
        <v>1.5572983354607999</v>
      </c>
      <c r="J14" s="19">
        <f>J13</f>
        <v>2625.3</v>
      </c>
      <c r="K14">
        <v>6</v>
      </c>
      <c r="L14">
        <v>2</v>
      </c>
      <c r="M14">
        <v>4</v>
      </c>
      <c r="N14" s="20">
        <f t="shared" si="4"/>
        <v>21895.002</v>
      </c>
      <c r="O14" s="20" t="e">
        <f>J14*#REF!*L14</f>
        <v>#REF!</v>
      </c>
      <c r="P14" s="20">
        <f t="shared" si="5"/>
        <v>15331.752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20949.894</v>
      </c>
      <c r="W14">
        <f t="shared" si="8"/>
        <v>21895.002</v>
      </c>
      <c r="X14">
        <f t="shared" si="9"/>
        <v>42844.896</v>
      </c>
      <c r="AI14">
        <f>AI13</f>
        <v>2625.3</v>
      </c>
      <c r="AJ14" s="22">
        <f t="shared" si="10"/>
        <v>2.8499999999999996</v>
      </c>
      <c r="AK14" s="34">
        <v>1.46</v>
      </c>
    </row>
    <row r="15" spans="1:37" ht="18.75">
      <c r="A15" s="15" t="s">
        <v>16</v>
      </c>
      <c r="B15" s="14" t="s">
        <v>7</v>
      </c>
      <c r="C15" s="34"/>
      <c r="D15" s="34"/>
      <c r="E15" s="16"/>
      <c r="F15" s="16"/>
      <c r="G15" s="16"/>
      <c r="H15" s="17">
        <f t="shared" si="2"/>
        <v>0</v>
      </c>
      <c r="I15" s="18">
        <f t="shared" si="3"/>
        <v>0</v>
      </c>
      <c r="J15" s="19">
        <f>J14</f>
        <v>2625.3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2047.7340000000004</v>
      </c>
      <c r="W15">
        <f t="shared" si="8"/>
        <v>0</v>
      </c>
      <c r="X15">
        <f t="shared" si="9"/>
        <v>2047.7340000000004</v>
      </c>
      <c r="AI15">
        <f>AI14</f>
        <v>2625.3</v>
      </c>
      <c r="AJ15" s="22">
        <f t="shared" si="10"/>
        <v>0</v>
      </c>
      <c r="AK15" s="34">
        <v>0</v>
      </c>
    </row>
    <row r="16" spans="1:37" ht="18.75">
      <c r="A16" s="15" t="s">
        <v>21</v>
      </c>
      <c r="B16" s="14" t="s">
        <v>11</v>
      </c>
      <c r="C16" s="34">
        <v>0.82</v>
      </c>
      <c r="D16" s="34">
        <v>0.58</v>
      </c>
      <c r="E16" s="16">
        <f t="shared" si="0"/>
        <v>22052.52</v>
      </c>
      <c r="F16" s="16">
        <f>E16</f>
        <v>22052.52</v>
      </c>
      <c r="G16" s="16">
        <f t="shared" si="1"/>
        <v>18272.088</v>
      </c>
      <c r="H16" s="17">
        <f t="shared" si="2"/>
        <v>0.8609475031982</v>
      </c>
      <c r="I16" s="18">
        <f t="shared" si="3"/>
        <v>0.9186939820703999</v>
      </c>
      <c r="J16" s="19">
        <f>J15</f>
        <v>2625.3</v>
      </c>
      <c r="K16">
        <v>6</v>
      </c>
      <c r="L16">
        <v>2</v>
      </c>
      <c r="M16">
        <v>4</v>
      </c>
      <c r="N16" s="20">
        <f t="shared" si="4"/>
        <v>12916.476</v>
      </c>
      <c r="O16" s="20" t="e">
        <f>J16*#REF!*L16</f>
        <v>#REF!</v>
      </c>
      <c r="P16" s="20">
        <f t="shared" si="5"/>
        <v>6090.696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12443.922</v>
      </c>
      <c r="W16">
        <f t="shared" si="8"/>
        <v>12916.476</v>
      </c>
      <c r="X16">
        <f t="shared" si="9"/>
        <v>25360.398</v>
      </c>
      <c r="AI16">
        <f>AI15</f>
        <v>2625.3</v>
      </c>
      <c r="AJ16" s="22">
        <f t="shared" si="10"/>
        <v>1.4</v>
      </c>
      <c r="AK16" s="34">
        <v>0.58</v>
      </c>
    </row>
    <row r="17" spans="1:37" ht="18.75">
      <c r="A17" s="15" t="s">
        <v>22</v>
      </c>
      <c r="B17" s="14" t="s">
        <v>19</v>
      </c>
      <c r="C17" s="34">
        <v>1.24</v>
      </c>
      <c r="D17" s="34">
        <v>1.24</v>
      </c>
      <c r="E17" s="16">
        <f t="shared" si="0"/>
        <v>39064.46400000001</v>
      </c>
      <c r="F17" s="16">
        <f>E17</f>
        <v>39064.46400000001</v>
      </c>
      <c r="G17" s="16">
        <f t="shared" si="1"/>
        <v>39064.46400000001</v>
      </c>
      <c r="H17" s="17">
        <f t="shared" si="2"/>
        <v>1.3019206145924</v>
      </c>
      <c r="I17" s="18">
        <f t="shared" si="3"/>
        <v>1.3892445582528</v>
      </c>
      <c r="J17" s="19">
        <f>J16</f>
        <v>2625.3</v>
      </c>
      <c r="K17">
        <v>6</v>
      </c>
      <c r="L17">
        <v>2</v>
      </c>
      <c r="M17">
        <v>4</v>
      </c>
      <c r="N17" s="20">
        <f t="shared" si="4"/>
        <v>19532.232000000004</v>
      </c>
      <c r="O17" s="20" t="e">
        <f>J17*#REF!*L17</f>
        <v>#REF!</v>
      </c>
      <c r="P17" s="20">
        <f t="shared" si="5"/>
        <v>13021.488000000001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19532.232000000004</v>
      </c>
      <c r="W17">
        <f t="shared" si="8"/>
        <v>19532.232</v>
      </c>
      <c r="X17">
        <f t="shared" si="9"/>
        <v>39064.46400000001</v>
      </c>
      <c r="AI17">
        <f>AI16</f>
        <v>2625.3</v>
      </c>
      <c r="AJ17" s="22">
        <f t="shared" si="10"/>
        <v>2.48</v>
      </c>
      <c r="AK17" s="34">
        <v>1.24</v>
      </c>
    </row>
    <row r="18" spans="1:37" ht="56.25">
      <c r="A18" s="15" t="s">
        <v>23</v>
      </c>
      <c r="B18" s="14" t="s">
        <v>24</v>
      </c>
      <c r="C18" s="34">
        <v>4.47</v>
      </c>
      <c r="D18" s="34">
        <v>5.18</v>
      </c>
      <c r="E18" s="16">
        <f t="shared" si="0"/>
        <v>152004.87</v>
      </c>
      <c r="F18" s="101">
        <f>F20+F21+F23+F25+F27+F28+F30+F31+F33+F35+F36+F38+F39+F41+F42+F44+F45+F46+F48+F49+F51+F52+F53</f>
        <v>114772.83000000002</v>
      </c>
      <c r="G18" s="16">
        <f t="shared" si="1"/>
        <v>163188.648</v>
      </c>
      <c r="H18" s="17">
        <f t="shared" si="2"/>
        <v>4.6932138284097</v>
      </c>
      <c r="I18" s="18">
        <f t="shared" si="3"/>
        <v>5.008002560798399</v>
      </c>
      <c r="J18" s="19">
        <f>J17</f>
        <v>2625.3</v>
      </c>
      <c r="K18">
        <v>6</v>
      </c>
      <c r="L18">
        <v>2</v>
      </c>
      <c r="M18">
        <v>4</v>
      </c>
      <c r="N18" s="20">
        <f t="shared" si="4"/>
        <v>70410.546</v>
      </c>
      <c r="O18" s="20" t="e">
        <f>J18*#REF!*L18</f>
        <v>#REF!</v>
      </c>
      <c r="P18" s="20">
        <f t="shared" si="5"/>
        <v>54396.216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66315.07800000001</v>
      </c>
      <c r="W18">
        <f t="shared" si="8"/>
        <v>72773.316</v>
      </c>
      <c r="X18">
        <f t="shared" si="9"/>
        <v>139088.39400000003</v>
      </c>
      <c r="AI18">
        <f>AI17</f>
        <v>2625.3</v>
      </c>
      <c r="AJ18" s="22">
        <f t="shared" si="10"/>
        <v>9.649999999999999</v>
      </c>
      <c r="AK18" s="34">
        <v>5.18</v>
      </c>
    </row>
    <row r="19" spans="1:19" ht="18.75">
      <c r="A19" s="15"/>
      <c r="B19" s="34" t="s">
        <v>75</v>
      </c>
      <c r="C19" s="79"/>
      <c r="D19" s="79"/>
      <c r="E19" s="16"/>
      <c r="F19" s="101"/>
      <c r="G19" s="16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18.75">
      <c r="A20" s="15"/>
      <c r="B20" s="14" t="s">
        <v>594</v>
      </c>
      <c r="C20" s="79"/>
      <c r="D20" s="79"/>
      <c r="E20" s="16"/>
      <c r="F20" s="102">
        <v>1590.18</v>
      </c>
      <c r="G20" s="16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15.75" customHeight="1">
      <c r="A21" s="15"/>
      <c r="B21" s="14" t="s">
        <v>595</v>
      </c>
      <c r="C21" s="79"/>
      <c r="D21" s="79"/>
      <c r="E21" s="16"/>
      <c r="F21" s="108">
        <v>2423.74</v>
      </c>
      <c r="G21" s="16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15.75" customHeight="1">
      <c r="A22" s="15"/>
      <c r="B22" s="33" t="s">
        <v>221</v>
      </c>
      <c r="C22" s="79"/>
      <c r="D22" s="79"/>
      <c r="E22" s="16"/>
      <c r="F22" s="108"/>
      <c r="G22" s="16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15.75" customHeight="1">
      <c r="A23" s="15"/>
      <c r="B23" s="14" t="s">
        <v>596</v>
      </c>
      <c r="C23" s="79"/>
      <c r="D23" s="79"/>
      <c r="E23" s="16"/>
      <c r="F23" s="108">
        <v>1550.18</v>
      </c>
      <c r="G23" s="16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15"/>
      <c r="B24" s="33" t="s">
        <v>89</v>
      </c>
      <c r="C24" s="79"/>
      <c r="D24" s="79"/>
      <c r="E24" s="16"/>
      <c r="F24" s="108"/>
      <c r="G24" s="16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22.5" customHeight="1">
      <c r="A25" s="15"/>
      <c r="B25" s="14" t="s">
        <v>597</v>
      </c>
      <c r="C25" s="79"/>
      <c r="D25" s="79"/>
      <c r="E25" s="16"/>
      <c r="F25" s="108">
        <v>579.85</v>
      </c>
      <c r="G25" s="16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18.75">
      <c r="A26" s="15"/>
      <c r="B26" s="33" t="s">
        <v>598</v>
      </c>
      <c r="C26" s="79"/>
      <c r="D26" s="79"/>
      <c r="E26" s="16"/>
      <c r="F26" s="108"/>
      <c r="G26" s="16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15"/>
      <c r="B27" s="14" t="s">
        <v>599</v>
      </c>
      <c r="C27" s="79"/>
      <c r="D27" s="79"/>
      <c r="E27" s="16"/>
      <c r="F27" s="108">
        <v>3971.36</v>
      </c>
      <c r="G27" s="16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15"/>
      <c r="B28" s="14" t="s">
        <v>600</v>
      </c>
      <c r="C28" s="79"/>
      <c r="D28" s="79"/>
      <c r="E28" s="16"/>
      <c r="F28" s="108">
        <v>289.93</v>
      </c>
      <c r="G28" s="16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15"/>
      <c r="B29" s="33" t="s">
        <v>539</v>
      </c>
      <c r="C29" s="79"/>
      <c r="D29" s="79"/>
      <c r="E29" s="16"/>
      <c r="F29" s="108"/>
      <c r="G29" s="16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18.75">
      <c r="A30" s="15"/>
      <c r="B30" s="14" t="s">
        <v>601</v>
      </c>
      <c r="C30" s="79"/>
      <c r="D30" s="79"/>
      <c r="E30" s="16"/>
      <c r="F30" s="108">
        <v>4279.57</v>
      </c>
      <c r="G30" s="16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15"/>
      <c r="B31" s="14" t="s">
        <v>148</v>
      </c>
      <c r="C31" s="79"/>
      <c r="D31" s="79"/>
      <c r="E31" s="16"/>
      <c r="F31" s="108">
        <v>258.18</v>
      </c>
      <c r="G31" s="16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18.75">
      <c r="A32" s="15"/>
      <c r="B32" s="33" t="s">
        <v>602</v>
      </c>
      <c r="C32" s="79"/>
      <c r="D32" s="79"/>
      <c r="E32" s="16"/>
      <c r="F32" s="108"/>
      <c r="G32" s="16"/>
      <c r="H32" s="17"/>
      <c r="I32" s="18"/>
      <c r="J32" s="19"/>
      <c r="N32" s="20"/>
      <c r="O32" s="20"/>
      <c r="P32" s="20"/>
      <c r="Q32" s="21"/>
      <c r="R32" s="22"/>
      <c r="S32" s="22"/>
    </row>
    <row r="33" spans="1:19" ht="56.25">
      <c r="A33" s="15"/>
      <c r="B33" s="14" t="s">
        <v>603</v>
      </c>
      <c r="C33" s="79"/>
      <c r="D33" s="79"/>
      <c r="E33" s="16"/>
      <c r="F33" s="108">
        <v>13669.05</v>
      </c>
      <c r="G33" s="16"/>
      <c r="H33" s="17"/>
      <c r="I33" s="18"/>
      <c r="J33" s="19"/>
      <c r="N33" s="20"/>
      <c r="O33" s="20"/>
      <c r="P33" s="20"/>
      <c r="Q33" s="21"/>
      <c r="R33" s="22"/>
      <c r="S33" s="22"/>
    </row>
    <row r="34" spans="1:19" ht="18.75">
      <c r="A34" s="15"/>
      <c r="B34" s="33" t="s">
        <v>93</v>
      </c>
      <c r="C34" s="79"/>
      <c r="D34" s="79"/>
      <c r="E34" s="16"/>
      <c r="F34" s="108"/>
      <c r="G34" s="16"/>
      <c r="H34" s="17"/>
      <c r="I34" s="18"/>
      <c r="J34" s="19"/>
      <c r="N34" s="20"/>
      <c r="O34" s="20"/>
      <c r="P34" s="20"/>
      <c r="Q34" s="21"/>
      <c r="R34" s="22"/>
      <c r="S34" s="22"/>
    </row>
    <row r="35" spans="1:19" ht="18.75">
      <c r="A35" s="15"/>
      <c r="B35" s="83" t="s">
        <v>604</v>
      </c>
      <c r="C35" s="79"/>
      <c r="D35" s="79"/>
      <c r="E35" s="16"/>
      <c r="F35" s="108">
        <v>8483.12</v>
      </c>
      <c r="G35" s="16"/>
      <c r="H35" s="17"/>
      <c r="I35" s="18"/>
      <c r="J35" s="19"/>
      <c r="N35" s="20"/>
      <c r="O35" s="20"/>
      <c r="P35" s="20"/>
      <c r="Q35" s="21"/>
      <c r="R35" s="22"/>
      <c r="S35" s="22"/>
    </row>
    <row r="36" spans="1:19" ht="17.25" customHeight="1">
      <c r="A36" s="15"/>
      <c r="B36" s="83" t="s">
        <v>605</v>
      </c>
      <c r="C36" s="79"/>
      <c r="D36" s="79"/>
      <c r="E36" s="16"/>
      <c r="F36" s="108">
        <v>256.26</v>
      </c>
      <c r="G36" s="16"/>
      <c r="H36" s="17"/>
      <c r="I36" s="18"/>
      <c r="J36" s="19"/>
      <c r="N36" s="20"/>
      <c r="O36" s="20"/>
      <c r="P36" s="20"/>
      <c r="Q36" s="21"/>
      <c r="R36" s="22"/>
      <c r="S36" s="22"/>
    </row>
    <row r="37" spans="1:19" ht="18.75">
      <c r="A37" s="15"/>
      <c r="B37" s="33" t="s">
        <v>94</v>
      </c>
      <c r="C37" s="79"/>
      <c r="D37" s="79"/>
      <c r="E37" s="16"/>
      <c r="F37" s="108"/>
      <c r="G37" s="16"/>
      <c r="H37" s="17"/>
      <c r="I37" s="18"/>
      <c r="J37" s="19"/>
      <c r="N37" s="20"/>
      <c r="O37" s="20"/>
      <c r="P37" s="20"/>
      <c r="Q37" s="21"/>
      <c r="R37" s="22"/>
      <c r="S37" s="22"/>
    </row>
    <row r="38" spans="1:19" ht="18.75">
      <c r="A38" s="15"/>
      <c r="B38" s="83" t="s">
        <v>606</v>
      </c>
      <c r="C38" s="79"/>
      <c r="D38" s="79"/>
      <c r="E38" s="16"/>
      <c r="F38" s="108">
        <v>11387.47</v>
      </c>
      <c r="G38" s="16"/>
      <c r="H38" s="17"/>
      <c r="I38" s="18"/>
      <c r="J38" s="19"/>
      <c r="N38" s="20"/>
      <c r="O38" s="20"/>
      <c r="P38" s="20"/>
      <c r="Q38" s="21"/>
      <c r="R38" s="22"/>
      <c r="S38" s="22"/>
    </row>
    <row r="39" spans="1:19" ht="37.5">
      <c r="A39" s="15"/>
      <c r="B39" s="83" t="s">
        <v>607</v>
      </c>
      <c r="C39" s="79"/>
      <c r="D39" s="79"/>
      <c r="E39" s="16"/>
      <c r="F39" s="108">
        <v>1943.04</v>
      </c>
      <c r="G39" s="16"/>
      <c r="H39" s="17"/>
      <c r="I39" s="18"/>
      <c r="J39" s="19"/>
      <c r="N39" s="20"/>
      <c r="O39" s="20"/>
      <c r="P39" s="20"/>
      <c r="Q39" s="21"/>
      <c r="R39" s="22"/>
      <c r="S39" s="22"/>
    </row>
    <row r="40" spans="1:19" ht="18.75">
      <c r="A40" s="15"/>
      <c r="B40" s="33" t="s">
        <v>98</v>
      </c>
      <c r="C40" s="79"/>
      <c r="D40" s="79"/>
      <c r="E40" s="16"/>
      <c r="F40" s="108"/>
      <c r="G40" s="16"/>
      <c r="H40" s="17"/>
      <c r="I40" s="18"/>
      <c r="J40" s="19"/>
      <c r="N40" s="20"/>
      <c r="O40" s="20"/>
      <c r="P40" s="20"/>
      <c r="Q40" s="21"/>
      <c r="R40" s="22"/>
      <c r="S40" s="22"/>
    </row>
    <row r="41" spans="1:19" ht="15.75" customHeight="1">
      <c r="A41" s="15"/>
      <c r="B41" s="83" t="s">
        <v>608</v>
      </c>
      <c r="C41" s="79"/>
      <c r="D41" s="79"/>
      <c r="E41" s="16"/>
      <c r="F41" s="108">
        <v>17642.8</v>
      </c>
      <c r="G41" s="16"/>
      <c r="H41" s="17"/>
      <c r="I41" s="18"/>
      <c r="J41" s="19"/>
      <c r="N41" s="20"/>
      <c r="O41" s="20"/>
      <c r="P41" s="20"/>
      <c r="Q41" s="21"/>
      <c r="R41" s="22"/>
      <c r="S41" s="22"/>
    </row>
    <row r="42" spans="1:19" ht="18.75">
      <c r="A42" s="15"/>
      <c r="B42" s="83" t="s">
        <v>609</v>
      </c>
      <c r="C42" s="79"/>
      <c r="D42" s="79"/>
      <c r="E42" s="16"/>
      <c r="F42" s="108">
        <v>1872.86</v>
      </c>
      <c r="G42" s="16"/>
      <c r="H42" s="17"/>
      <c r="I42" s="18"/>
      <c r="J42" s="19"/>
      <c r="N42" s="20"/>
      <c r="O42" s="20"/>
      <c r="P42" s="20"/>
      <c r="Q42" s="21"/>
      <c r="R42" s="22"/>
      <c r="S42" s="22"/>
    </row>
    <row r="43" spans="1:19" ht="18.75">
      <c r="A43" s="15"/>
      <c r="B43" s="33" t="s">
        <v>95</v>
      </c>
      <c r="C43" s="79"/>
      <c r="D43" s="79"/>
      <c r="E43" s="16"/>
      <c r="F43" s="108"/>
      <c r="G43" s="16"/>
      <c r="H43" s="17"/>
      <c r="I43" s="18"/>
      <c r="J43" s="19"/>
      <c r="N43" s="20"/>
      <c r="O43" s="20"/>
      <c r="P43" s="20"/>
      <c r="Q43" s="21"/>
      <c r="R43" s="22"/>
      <c r="S43" s="22"/>
    </row>
    <row r="44" spans="1:19" ht="75">
      <c r="A44" s="15"/>
      <c r="B44" s="83" t="s">
        <v>610</v>
      </c>
      <c r="C44" s="79"/>
      <c r="D44" s="79"/>
      <c r="E44" s="16"/>
      <c r="F44" s="108">
        <v>33218.75</v>
      </c>
      <c r="G44" s="16"/>
      <c r="H44" s="17"/>
      <c r="I44" s="18"/>
      <c r="J44" s="19"/>
      <c r="N44" s="20"/>
      <c r="O44" s="20"/>
      <c r="P44" s="20"/>
      <c r="Q44" s="21"/>
      <c r="R44" s="22"/>
      <c r="S44" s="22"/>
    </row>
    <row r="45" spans="1:19" ht="18.75">
      <c r="A45" s="15"/>
      <c r="B45" s="83" t="s">
        <v>611</v>
      </c>
      <c r="C45" s="79"/>
      <c r="D45" s="79"/>
      <c r="E45" s="16"/>
      <c r="F45" s="108">
        <v>351.66</v>
      </c>
      <c r="G45" s="16"/>
      <c r="H45" s="17"/>
      <c r="I45" s="18"/>
      <c r="J45" s="19"/>
      <c r="N45" s="20"/>
      <c r="O45" s="20"/>
      <c r="P45" s="20"/>
      <c r="Q45" s="21"/>
      <c r="R45" s="22"/>
      <c r="S45" s="22"/>
    </row>
    <row r="46" spans="1:19" ht="18.75">
      <c r="A46" s="15"/>
      <c r="B46" s="83" t="s">
        <v>612</v>
      </c>
      <c r="C46" s="79"/>
      <c r="D46" s="79"/>
      <c r="E46" s="16"/>
      <c r="F46" s="108">
        <v>207.54</v>
      </c>
      <c r="G46" s="16"/>
      <c r="H46" s="17"/>
      <c r="I46" s="18"/>
      <c r="J46" s="19"/>
      <c r="N46" s="20"/>
      <c r="O46" s="20"/>
      <c r="P46" s="20"/>
      <c r="Q46" s="21"/>
      <c r="R46" s="22"/>
      <c r="S46" s="22"/>
    </row>
    <row r="47" spans="1:19" ht="18.75">
      <c r="A47" s="15"/>
      <c r="B47" s="33" t="s">
        <v>96</v>
      </c>
      <c r="C47" s="79"/>
      <c r="D47" s="79"/>
      <c r="E47" s="16"/>
      <c r="F47" s="108"/>
      <c r="G47" s="16"/>
      <c r="H47" s="17"/>
      <c r="I47" s="18"/>
      <c r="J47" s="19"/>
      <c r="N47" s="20"/>
      <c r="O47" s="20"/>
      <c r="P47" s="20"/>
      <c r="Q47" s="21"/>
      <c r="R47" s="22"/>
      <c r="S47" s="22"/>
    </row>
    <row r="48" spans="1:19" ht="37.5">
      <c r="A48" s="15"/>
      <c r="B48" s="83" t="s">
        <v>613</v>
      </c>
      <c r="C48" s="79"/>
      <c r="D48" s="79"/>
      <c r="E48" s="16"/>
      <c r="F48" s="108">
        <v>6439.52</v>
      </c>
      <c r="G48" s="16"/>
      <c r="H48" s="17"/>
      <c r="I48" s="18"/>
      <c r="J48" s="19"/>
      <c r="N48" s="20"/>
      <c r="O48" s="20"/>
      <c r="P48" s="20"/>
      <c r="Q48" s="21"/>
      <c r="R48" s="22"/>
      <c r="S48" s="22"/>
    </row>
    <row r="49" spans="1:19" ht="18.75">
      <c r="A49" s="15"/>
      <c r="B49" s="83" t="s">
        <v>614</v>
      </c>
      <c r="C49" s="79"/>
      <c r="D49" s="79"/>
      <c r="E49" s="16"/>
      <c r="F49" s="108">
        <v>259.29</v>
      </c>
      <c r="G49" s="16"/>
      <c r="H49" s="17"/>
      <c r="I49" s="18"/>
      <c r="J49" s="19"/>
      <c r="N49" s="20"/>
      <c r="O49" s="20"/>
      <c r="P49" s="20"/>
      <c r="Q49" s="21"/>
      <c r="R49" s="22"/>
      <c r="S49" s="22"/>
    </row>
    <row r="50" spans="1:19" ht="18.75">
      <c r="A50" s="15"/>
      <c r="B50" s="33" t="s">
        <v>97</v>
      </c>
      <c r="C50" s="79"/>
      <c r="D50" s="79"/>
      <c r="E50" s="16"/>
      <c r="F50" s="108"/>
      <c r="G50" s="16"/>
      <c r="H50" s="17"/>
      <c r="I50" s="18"/>
      <c r="J50" s="19"/>
      <c r="N50" s="20"/>
      <c r="O50" s="20"/>
      <c r="P50" s="20"/>
      <c r="Q50" s="21"/>
      <c r="R50" s="22"/>
      <c r="S50" s="22"/>
    </row>
    <row r="51" spans="1:19" ht="37.5">
      <c r="A51" s="15"/>
      <c r="B51" s="83" t="s">
        <v>615</v>
      </c>
      <c r="C51" s="79"/>
      <c r="D51" s="79"/>
      <c r="E51" s="16"/>
      <c r="F51" s="108">
        <v>3033.5</v>
      </c>
      <c r="G51" s="16"/>
      <c r="H51" s="17"/>
      <c r="I51" s="18"/>
      <c r="J51" s="19"/>
      <c r="N51" s="20"/>
      <c r="O51" s="20"/>
      <c r="P51" s="20"/>
      <c r="Q51" s="21"/>
      <c r="R51" s="22"/>
      <c r="S51" s="22"/>
    </row>
    <row r="52" spans="1:19" ht="18.75">
      <c r="A52" s="15"/>
      <c r="B52" s="83" t="s">
        <v>616</v>
      </c>
      <c r="C52" s="79"/>
      <c r="D52" s="79"/>
      <c r="E52" s="16"/>
      <c r="F52" s="108">
        <v>391.88</v>
      </c>
      <c r="G52" s="16"/>
      <c r="H52" s="17"/>
      <c r="I52" s="18"/>
      <c r="J52" s="19"/>
      <c r="N52" s="20"/>
      <c r="O52" s="20"/>
      <c r="P52" s="20"/>
      <c r="Q52" s="21"/>
      <c r="R52" s="22"/>
      <c r="S52" s="22"/>
    </row>
    <row r="53" spans="1:19" ht="18.75">
      <c r="A53" s="15"/>
      <c r="B53" s="83" t="s">
        <v>30</v>
      </c>
      <c r="C53" s="79"/>
      <c r="D53" s="79"/>
      <c r="E53" s="16"/>
      <c r="F53" s="108">
        <v>673.1</v>
      </c>
      <c r="G53" s="16"/>
      <c r="H53" s="17"/>
      <c r="I53" s="18"/>
      <c r="J53" s="19"/>
      <c r="N53" s="20"/>
      <c r="O53" s="20"/>
      <c r="P53" s="20"/>
      <c r="Q53" s="21"/>
      <c r="R53" s="22"/>
      <c r="S53" s="22"/>
    </row>
    <row r="54" spans="1:19" ht="37.5">
      <c r="A54" s="15"/>
      <c r="B54" s="14" t="s">
        <v>943</v>
      </c>
      <c r="C54" s="79"/>
      <c r="D54" s="79"/>
      <c r="E54" s="16">
        <v>-18867.04</v>
      </c>
      <c r="F54" s="101">
        <f>E54</f>
        <v>-18867.04</v>
      </c>
      <c r="G54" s="16"/>
      <c r="H54" s="17"/>
      <c r="I54" s="18"/>
      <c r="J54" s="19"/>
      <c r="N54" s="20"/>
      <c r="O54" s="20"/>
      <c r="P54" s="20"/>
      <c r="Q54" s="21"/>
      <c r="R54" s="22"/>
      <c r="S54" s="22"/>
    </row>
    <row r="55" spans="1:24" ht="18.75">
      <c r="A55" s="12"/>
      <c r="B55" s="14" t="s">
        <v>9</v>
      </c>
      <c r="C55" s="95">
        <f>SUM(C13:C25)</f>
        <v>9.01</v>
      </c>
      <c r="D55" s="95">
        <f>SUM(D13:D25)</f>
        <v>9.6</v>
      </c>
      <c r="E55" s="16">
        <f>SUM(E13:E25)+E54</f>
        <v>274273.95800000004</v>
      </c>
      <c r="F55" s="101">
        <f>F13+F14+F15+F16+F17+F18+F54</f>
        <v>237041.91800000003</v>
      </c>
      <c r="G55" s="16">
        <f>G13+G14+G15+G16+G17+G18</f>
        <v>302434.56</v>
      </c>
      <c r="H55" s="17">
        <f>1.04993597951*C55</f>
        <v>9.4599231753851</v>
      </c>
      <c r="I55" s="18">
        <f>1.12035851472*C55</f>
        <v>10.094430217627199</v>
      </c>
      <c r="J55" s="19">
        <f>J18</f>
        <v>2625.3</v>
      </c>
      <c r="N55" s="20"/>
      <c r="Q55" s="24"/>
      <c r="R55" s="22">
        <f>SUM(R13:R25)</f>
        <v>8.75</v>
      </c>
      <c r="S55" s="22">
        <f>SUM(S13:S25)</f>
        <v>9.16</v>
      </c>
      <c r="T55" s="22"/>
      <c r="U55" s="22"/>
      <c r="V55" s="22">
        <f>SUM(V13:V25)</f>
        <v>137828.25</v>
      </c>
      <c r="W55" s="22">
        <f>SUM(W13:W25)</f>
        <v>144286.488</v>
      </c>
      <c r="X55" s="22">
        <f>SUM(X13:X25)</f>
        <v>282114.738</v>
      </c>
    </row>
    <row r="56" spans="1:37" ht="20.25">
      <c r="A56" s="13">
        <v>5</v>
      </c>
      <c r="B56" s="25" t="s">
        <v>26</v>
      </c>
      <c r="C56" s="127">
        <v>1.58</v>
      </c>
      <c r="D56" s="127">
        <v>1.85</v>
      </c>
      <c r="E56" s="128">
        <f>AI56*6*AJ56</f>
        <v>48042.99</v>
      </c>
      <c r="F56" s="129">
        <f>E56</f>
        <v>48042.99</v>
      </c>
      <c r="G56" s="129">
        <f>AK56*12*AI56</f>
        <v>59541.804000000004</v>
      </c>
      <c r="H56" s="69" t="e">
        <f>#REF!</f>
        <v>#REF!</v>
      </c>
      <c r="I56" s="22">
        <f>C56+D56</f>
        <v>3.43</v>
      </c>
      <c r="J56" s="34">
        <v>3.43</v>
      </c>
      <c r="K56">
        <v>10</v>
      </c>
      <c r="L56">
        <v>2</v>
      </c>
      <c r="N56" s="20">
        <f>C56*J56*K56</f>
        <v>54.194</v>
      </c>
      <c r="O56" s="20" t="e">
        <f>#REF!*J56*L56</f>
        <v>#REF!</v>
      </c>
      <c r="P56" s="20" t="e">
        <f>SUM(N56:O56)</f>
        <v>#REF!</v>
      </c>
      <c r="Q56" s="21"/>
      <c r="R56" s="22">
        <v>1.47</v>
      </c>
      <c r="S56">
        <v>1.58</v>
      </c>
      <c r="T56">
        <v>6</v>
      </c>
      <c r="U56">
        <v>6</v>
      </c>
      <c r="V56">
        <f>R56*J56*T56</f>
        <v>30.2526</v>
      </c>
      <c r="W56">
        <f>S56*U56*J56</f>
        <v>32.516400000000004</v>
      </c>
      <c r="X56">
        <f>SUM(V56:W56)</f>
        <v>62.769000000000005</v>
      </c>
      <c r="AG56" s="69">
        <f>C4</f>
        <v>0</v>
      </c>
      <c r="AH56">
        <f>C56+D56</f>
        <v>3.43</v>
      </c>
      <c r="AI56">
        <f>C7</f>
        <v>2625.3</v>
      </c>
      <c r="AJ56">
        <v>3.05</v>
      </c>
      <c r="AK56">
        <v>1.89</v>
      </c>
    </row>
    <row r="57" spans="1:17" ht="18.75">
      <c r="A57" s="10"/>
      <c r="B57" s="26"/>
      <c r="C57" s="10"/>
      <c r="D57" s="10"/>
      <c r="E57" s="10"/>
      <c r="F57" s="10"/>
      <c r="G57" s="10"/>
      <c r="H57" s="10"/>
      <c r="Q57" s="24"/>
    </row>
    <row r="58" spans="1:17" ht="18.75">
      <c r="A58" s="179" t="s">
        <v>941</v>
      </c>
      <c r="B58" s="179"/>
      <c r="C58" s="183">
        <v>101766.83</v>
      </c>
      <c r="D58" s="183"/>
      <c r="E58" s="6" t="s">
        <v>18</v>
      </c>
      <c r="F58" s="10"/>
      <c r="G58" s="10"/>
      <c r="H58" s="10"/>
      <c r="Q58" s="24"/>
    </row>
    <row r="59" spans="1:17" ht="18.75">
      <c r="A59" s="179" t="s">
        <v>942</v>
      </c>
      <c r="B59" s="179"/>
      <c r="C59" s="183">
        <v>99792.66</v>
      </c>
      <c r="D59" s="183"/>
      <c r="E59" s="6" t="s">
        <v>18</v>
      </c>
      <c r="F59" s="10"/>
      <c r="G59" s="10"/>
      <c r="H59" s="10"/>
      <c r="Q59" s="24"/>
    </row>
    <row r="60" spans="1:8" ht="18.75">
      <c r="A60" s="180" t="s">
        <v>17</v>
      </c>
      <c r="B60" s="180"/>
      <c r="C60" s="180"/>
      <c r="D60" s="180"/>
      <c r="E60" s="180"/>
      <c r="F60" s="180"/>
      <c r="G60" s="180"/>
      <c r="H60" s="10"/>
    </row>
    <row r="61" spans="1:8" ht="18.75" customHeight="1" hidden="1">
      <c r="A61" s="181" t="s">
        <v>35</v>
      </c>
      <c r="B61" s="181"/>
      <c r="C61" s="5" t="e">
        <f>C58-#REF!</f>
        <v>#REF!</v>
      </c>
      <c r="D61" s="10" t="s">
        <v>18</v>
      </c>
      <c r="E61" s="10"/>
      <c r="F61" s="10"/>
      <c r="G61" s="10"/>
      <c r="H61" s="10"/>
    </row>
    <row r="62" spans="1:8" ht="18.75" customHeight="1" hidden="1">
      <c r="A62" s="181" t="s">
        <v>36</v>
      </c>
      <c r="B62" s="181"/>
      <c r="C62" s="85">
        <f>E55-F55</f>
        <v>37232.04000000001</v>
      </c>
      <c r="D62" s="84" t="str">
        <f>D61</f>
        <v>рублей</v>
      </c>
      <c r="H62" s="28"/>
    </row>
  </sheetData>
  <sheetProtection/>
  <mergeCells count="18">
    <mergeCell ref="A1:G2"/>
    <mergeCell ref="A3:G3"/>
    <mergeCell ref="A4:H5"/>
    <mergeCell ref="F9:F11"/>
    <mergeCell ref="G9:G11"/>
    <mergeCell ref="J9:Q12"/>
    <mergeCell ref="R9:X12"/>
    <mergeCell ref="A9:A11"/>
    <mergeCell ref="B9:B11"/>
    <mergeCell ref="C9:D10"/>
    <mergeCell ref="E9:E11"/>
    <mergeCell ref="C58:D58"/>
    <mergeCell ref="C59:D59"/>
    <mergeCell ref="A60:G60"/>
    <mergeCell ref="A61:B61"/>
    <mergeCell ref="A62:B62"/>
    <mergeCell ref="A58:B58"/>
    <mergeCell ref="A59:B5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1" r:id="rId1"/>
  <rowBreaks count="1" manualBreakCount="1">
    <brk id="49" max="6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Q98"/>
  <sheetViews>
    <sheetView view="pageBreakPreview" zoomScale="75" zoomScaleSheetLayoutView="75" zoomScalePageLayoutView="0" workbookViewId="0" topLeftCell="A40">
      <selection activeCell="B58" sqref="B58"/>
    </sheetView>
  </sheetViews>
  <sheetFormatPr defaultColWidth="9.00390625" defaultRowHeight="12.75"/>
  <cols>
    <col min="1" max="1" width="9.25390625" style="0" bestFit="1" customWidth="1"/>
    <col min="2" max="2" width="48.125" style="0" customWidth="1"/>
    <col min="3" max="3" width="10.375" style="0" bestFit="1" customWidth="1"/>
    <col min="4" max="4" width="10.625" style="0" customWidth="1"/>
    <col min="5" max="5" width="12.75390625" style="0" customWidth="1"/>
    <col min="6" max="6" width="16.25390625" style="0" customWidth="1"/>
    <col min="7" max="7" width="13.375" style="0" customWidth="1"/>
    <col min="8" max="9" width="9.125" style="0" hidden="1" customWidth="1"/>
    <col min="10" max="10" width="5.25390625" style="0" hidden="1" customWidth="1"/>
    <col min="11" max="11" width="7.00390625" style="0" hidden="1" customWidth="1"/>
    <col min="12" max="14" width="9.125" style="0" customWidth="1"/>
    <col min="15" max="16" width="9.125" style="0" hidden="1" customWidth="1"/>
    <col min="17" max="18" width="0" style="0" hidden="1" customWidth="1"/>
  </cols>
  <sheetData>
    <row r="1" spans="1:7" ht="12.75">
      <c r="A1" s="179" t="s">
        <v>25</v>
      </c>
      <c r="B1" s="179"/>
      <c r="C1" s="179"/>
      <c r="D1" s="179"/>
      <c r="E1" s="179"/>
      <c r="F1" s="179"/>
      <c r="G1" s="179"/>
    </row>
    <row r="2" spans="1:7" ht="12.75">
      <c r="A2" s="179"/>
      <c r="B2" s="179"/>
      <c r="C2" s="179"/>
      <c r="D2" s="179"/>
      <c r="E2" s="179"/>
      <c r="F2" s="179"/>
      <c r="G2" s="179"/>
    </row>
    <row r="3" spans="1:7" ht="35.25" customHeight="1">
      <c r="A3" s="182" t="s">
        <v>71</v>
      </c>
      <c r="B3" s="182"/>
      <c r="C3" s="182"/>
      <c r="D3" s="182"/>
      <c r="E3" s="182"/>
      <c r="F3" s="182"/>
      <c r="G3" s="182"/>
    </row>
    <row r="4" spans="1:7" ht="12.75">
      <c r="A4" s="179" t="s">
        <v>167</v>
      </c>
      <c r="B4" s="179"/>
      <c r="C4" s="179"/>
      <c r="D4" s="179"/>
      <c r="E4" s="179"/>
      <c r="F4" s="179"/>
      <c r="G4" s="179"/>
    </row>
    <row r="5" spans="1:7" ht="12.75">
      <c r="A5" s="179"/>
      <c r="B5" s="179"/>
      <c r="C5" s="179"/>
      <c r="D5" s="179"/>
      <c r="E5" s="179"/>
      <c r="F5" s="179"/>
      <c r="G5" s="179"/>
    </row>
    <row r="6" spans="1:7" ht="18.75">
      <c r="A6" s="5"/>
      <c r="B6" s="5"/>
      <c r="C6" s="5"/>
      <c r="D6" s="5"/>
      <c r="E6" s="5"/>
      <c r="F6" s="5"/>
      <c r="G6" s="5"/>
    </row>
    <row r="7" spans="1:7" ht="18.75">
      <c r="A7" s="8"/>
      <c r="B7" s="9" t="s">
        <v>5</v>
      </c>
      <c r="C7" s="5">
        <v>4512.25</v>
      </c>
      <c r="E7" s="10"/>
      <c r="F7" s="10"/>
      <c r="G7" s="10"/>
    </row>
    <row r="8" spans="1:7" ht="18.75">
      <c r="A8" s="8"/>
      <c r="B8" s="5"/>
      <c r="C8" s="5"/>
      <c r="D8" s="5"/>
      <c r="E8" s="5"/>
      <c r="F8" s="5"/>
      <c r="G8" s="5"/>
    </row>
    <row r="9" spans="1:7" ht="18.75" customHeight="1">
      <c r="A9" s="184" t="s">
        <v>8</v>
      </c>
      <c r="B9" s="184" t="s">
        <v>6</v>
      </c>
      <c r="C9" s="185" t="s">
        <v>32</v>
      </c>
      <c r="D9" s="186"/>
      <c r="E9" s="189" t="s">
        <v>99</v>
      </c>
      <c r="F9" s="178" t="s">
        <v>74</v>
      </c>
      <c r="G9" s="178" t="s">
        <v>218</v>
      </c>
    </row>
    <row r="10" spans="1:7" ht="73.5" customHeight="1">
      <c r="A10" s="184"/>
      <c r="B10" s="184"/>
      <c r="C10" s="187"/>
      <c r="D10" s="188"/>
      <c r="E10" s="190"/>
      <c r="F10" s="178"/>
      <c r="G10" s="178"/>
    </row>
    <row r="11" spans="1:7" ht="82.5" customHeight="1">
      <c r="A11" s="184"/>
      <c r="B11" s="184"/>
      <c r="C11" s="97" t="s">
        <v>107</v>
      </c>
      <c r="D11" s="97" t="s">
        <v>106</v>
      </c>
      <c r="E11" s="191"/>
      <c r="F11" s="178"/>
      <c r="G11" s="178"/>
    </row>
    <row r="12" spans="1:7" ht="56.25">
      <c r="A12" s="13" t="s">
        <v>12</v>
      </c>
      <c r="B12" s="14" t="s">
        <v>20</v>
      </c>
      <c r="C12" s="33"/>
      <c r="D12" s="33"/>
      <c r="E12" s="33"/>
      <c r="F12" s="33"/>
      <c r="G12" s="13"/>
    </row>
    <row r="13" spans="1:11" ht="18.75">
      <c r="A13" s="15" t="s">
        <v>13</v>
      </c>
      <c r="B13" s="14" t="s">
        <v>10</v>
      </c>
      <c r="C13" s="34">
        <v>1.09</v>
      </c>
      <c r="D13" s="34">
        <v>1.14</v>
      </c>
      <c r="E13" s="34">
        <f aca="true" t="shared" si="0" ref="E13:E18">H13*K13*12</f>
        <v>60373.905</v>
      </c>
      <c r="F13" s="34">
        <v>60373.91</v>
      </c>
      <c r="G13" s="16">
        <f aca="true" t="shared" si="1" ref="G13:G18">H13*I13*12</f>
        <v>61727.57999999999</v>
      </c>
      <c r="H13">
        <f>C7</f>
        <v>4512.25</v>
      </c>
      <c r="I13" s="34">
        <v>1.14</v>
      </c>
      <c r="J13" s="22">
        <f aca="true" t="shared" si="2" ref="J13:J18">C13+D13</f>
        <v>2.23</v>
      </c>
      <c r="K13">
        <f aca="true" t="shared" si="3" ref="K13:K18">J13/2</f>
        <v>1.115</v>
      </c>
    </row>
    <row r="14" spans="1:11" ht="37.5">
      <c r="A14" s="15" t="s">
        <v>14</v>
      </c>
      <c r="B14" s="14" t="s">
        <v>15</v>
      </c>
      <c r="C14" s="34">
        <v>1.39</v>
      </c>
      <c r="D14" s="34">
        <v>1.46</v>
      </c>
      <c r="E14" s="34">
        <f t="shared" si="0"/>
        <v>77159.47499999999</v>
      </c>
      <c r="F14" s="34">
        <f>E14</f>
        <v>77159.47499999999</v>
      </c>
      <c r="G14" s="16">
        <f t="shared" si="1"/>
        <v>79054.62</v>
      </c>
      <c r="H14">
        <f>H13</f>
        <v>4512.25</v>
      </c>
      <c r="I14" s="34">
        <v>1.46</v>
      </c>
      <c r="J14" s="22">
        <f t="shared" si="2"/>
        <v>2.8499999999999996</v>
      </c>
      <c r="K14">
        <f t="shared" si="3"/>
        <v>1.4249999999999998</v>
      </c>
    </row>
    <row r="15" spans="1:11" ht="18.75">
      <c r="A15" s="15" t="s">
        <v>16</v>
      </c>
      <c r="B15" s="14" t="s">
        <v>7</v>
      </c>
      <c r="C15" s="34"/>
      <c r="D15" s="34"/>
      <c r="E15" s="34"/>
      <c r="F15" s="34"/>
      <c r="G15" s="16"/>
      <c r="H15">
        <f>H14</f>
        <v>4512.25</v>
      </c>
      <c r="I15" s="34">
        <v>0</v>
      </c>
      <c r="J15" s="22">
        <f t="shared" si="2"/>
        <v>0</v>
      </c>
      <c r="K15">
        <f t="shared" si="3"/>
        <v>0</v>
      </c>
    </row>
    <row r="16" spans="1:11" ht="18.75">
      <c r="A16" s="15" t="s">
        <v>21</v>
      </c>
      <c r="B16" s="14" t="s">
        <v>11</v>
      </c>
      <c r="C16" s="34">
        <v>0.82</v>
      </c>
      <c r="D16" s="34">
        <v>0.58</v>
      </c>
      <c r="E16" s="34">
        <f t="shared" si="0"/>
        <v>37902.899999999994</v>
      </c>
      <c r="F16" s="34">
        <f>E16</f>
        <v>37902.899999999994</v>
      </c>
      <c r="G16" s="16">
        <f t="shared" si="1"/>
        <v>31405.260000000002</v>
      </c>
      <c r="H16">
        <f>H15</f>
        <v>4512.25</v>
      </c>
      <c r="I16" s="34">
        <v>0.58</v>
      </c>
      <c r="J16" s="22">
        <f t="shared" si="2"/>
        <v>1.4</v>
      </c>
      <c r="K16">
        <f t="shared" si="3"/>
        <v>0.7</v>
      </c>
    </row>
    <row r="17" spans="1:11" ht="18.75">
      <c r="A17" s="15" t="s">
        <v>22</v>
      </c>
      <c r="B17" s="14" t="s">
        <v>19</v>
      </c>
      <c r="C17" s="34">
        <v>1.24</v>
      </c>
      <c r="D17" s="34">
        <v>1.24</v>
      </c>
      <c r="E17" s="34">
        <f t="shared" si="0"/>
        <v>67142.28</v>
      </c>
      <c r="F17" s="34">
        <f>E17</f>
        <v>67142.28</v>
      </c>
      <c r="G17" s="16">
        <f t="shared" si="1"/>
        <v>67142.28</v>
      </c>
      <c r="H17">
        <f>H16</f>
        <v>4512.25</v>
      </c>
      <c r="I17" s="34">
        <v>1.24</v>
      </c>
      <c r="J17" s="22">
        <f t="shared" si="2"/>
        <v>2.48</v>
      </c>
      <c r="K17">
        <f t="shared" si="3"/>
        <v>1.24</v>
      </c>
    </row>
    <row r="18" spans="1:11" ht="75">
      <c r="A18" s="15" t="s">
        <v>23</v>
      </c>
      <c r="B18" s="14" t="s">
        <v>24</v>
      </c>
      <c r="C18" s="34">
        <v>4.47</v>
      </c>
      <c r="D18" s="34">
        <v>5.18</v>
      </c>
      <c r="E18" s="34">
        <f t="shared" si="0"/>
        <v>261259.27499999997</v>
      </c>
      <c r="F18" s="98">
        <f>F20+F21+F23+F24+F26+F27+F28+F30+F31+F33+F34+F36+F37+F39+F40+F42+F43+F44+F46+F47+F49+F50+F52+F53+F55+F56+F57</f>
        <v>279095.88999999996</v>
      </c>
      <c r="G18" s="16">
        <f t="shared" si="1"/>
        <v>280481.45999999996</v>
      </c>
      <c r="H18">
        <f>H17</f>
        <v>4512.25</v>
      </c>
      <c r="I18" s="34">
        <v>5.18</v>
      </c>
      <c r="J18" s="22">
        <f t="shared" si="2"/>
        <v>9.649999999999999</v>
      </c>
      <c r="K18">
        <f t="shared" si="3"/>
        <v>4.824999999999999</v>
      </c>
    </row>
    <row r="19" spans="1:7" ht="18.75">
      <c r="A19" s="48"/>
      <c r="B19" s="34" t="s">
        <v>75</v>
      </c>
      <c r="C19" s="34"/>
      <c r="D19" s="34"/>
      <c r="E19" s="34"/>
      <c r="F19" s="98"/>
      <c r="G19" s="34"/>
    </row>
    <row r="20" spans="1:7" ht="75">
      <c r="A20" s="48"/>
      <c r="B20" s="14" t="s">
        <v>168</v>
      </c>
      <c r="C20" s="34"/>
      <c r="D20" s="34"/>
      <c r="E20" s="34"/>
      <c r="F20" s="98">
        <v>20845.23</v>
      </c>
      <c r="G20" s="34"/>
    </row>
    <row r="21" spans="1:7" ht="37.5">
      <c r="A21" s="48"/>
      <c r="B21" s="14" t="s">
        <v>169</v>
      </c>
      <c r="C21" s="34"/>
      <c r="D21" s="34"/>
      <c r="E21" s="34"/>
      <c r="F21" s="98">
        <v>492.57</v>
      </c>
      <c r="G21" s="34"/>
    </row>
    <row r="22" spans="1:7" ht="18.75">
      <c r="A22" s="48"/>
      <c r="B22" s="33" t="s">
        <v>88</v>
      </c>
      <c r="C22" s="34"/>
      <c r="D22" s="34"/>
      <c r="E22" s="34"/>
      <c r="F22" s="98"/>
      <c r="G22" s="34"/>
    </row>
    <row r="23" spans="1:7" ht="73.5" customHeight="1">
      <c r="A23" s="48"/>
      <c r="B23" s="14" t="s">
        <v>926</v>
      </c>
      <c r="C23" s="34"/>
      <c r="D23" s="34"/>
      <c r="E23" s="34"/>
      <c r="F23" s="98">
        <v>10590.41</v>
      </c>
      <c r="G23" s="34"/>
    </row>
    <row r="24" spans="1:7" ht="18.75">
      <c r="A24" s="48"/>
      <c r="B24" s="14" t="s">
        <v>170</v>
      </c>
      <c r="C24" s="34"/>
      <c r="D24" s="34"/>
      <c r="E24" s="34"/>
      <c r="F24" s="98">
        <v>496.52</v>
      </c>
      <c r="G24" s="34"/>
    </row>
    <row r="25" spans="1:7" ht="18.75">
      <c r="A25" s="48"/>
      <c r="B25" s="33" t="s">
        <v>89</v>
      </c>
      <c r="C25" s="34"/>
      <c r="D25" s="34"/>
      <c r="E25" s="34"/>
      <c r="F25" s="98"/>
      <c r="G25" s="34"/>
    </row>
    <row r="26" spans="1:7" ht="56.25">
      <c r="A26" s="48"/>
      <c r="B26" s="14" t="s">
        <v>171</v>
      </c>
      <c r="C26" s="34"/>
      <c r="D26" s="34"/>
      <c r="E26" s="34"/>
      <c r="F26" s="98">
        <v>20471.34</v>
      </c>
      <c r="G26" s="34"/>
    </row>
    <row r="27" spans="1:7" ht="18.75">
      <c r="A27" s="48"/>
      <c r="B27" s="14" t="s">
        <v>141</v>
      </c>
      <c r="C27" s="34"/>
      <c r="D27" s="34"/>
      <c r="E27" s="34"/>
      <c r="F27" s="98">
        <v>970.03</v>
      </c>
      <c r="G27" s="34"/>
    </row>
    <row r="28" spans="1:7" ht="37.5">
      <c r="A28" s="48"/>
      <c r="B28" s="14" t="s">
        <v>172</v>
      </c>
      <c r="C28" s="34"/>
      <c r="D28" s="34"/>
      <c r="E28" s="34"/>
      <c r="F28" s="98">
        <v>683.59</v>
      </c>
      <c r="G28" s="34"/>
    </row>
    <row r="29" spans="1:7" ht="18.75">
      <c r="A29" s="48"/>
      <c r="B29" s="33" t="s">
        <v>90</v>
      </c>
      <c r="C29" s="34"/>
      <c r="D29" s="34"/>
      <c r="E29" s="34"/>
      <c r="F29" s="98"/>
      <c r="G29" s="34"/>
    </row>
    <row r="30" spans="1:7" ht="75">
      <c r="A30" s="48"/>
      <c r="B30" s="14" t="s">
        <v>173</v>
      </c>
      <c r="C30" s="34"/>
      <c r="D30" s="34"/>
      <c r="E30" s="34"/>
      <c r="F30" s="98">
        <v>128436.02</v>
      </c>
      <c r="G30" s="34"/>
    </row>
    <row r="31" spans="1:7" ht="40.5" customHeight="1">
      <c r="A31" s="48"/>
      <c r="B31" s="14" t="s">
        <v>174</v>
      </c>
      <c r="C31" s="34"/>
      <c r="D31" s="34"/>
      <c r="E31" s="34"/>
      <c r="F31" s="98">
        <v>2570.85</v>
      </c>
      <c r="G31" s="34"/>
    </row>
    <row r="32" spans="1:7" ht="18.75">
      <c r="A32" s="48"/>
      <c r="B32" s="33" t="s">
        <v>91</v>
      </c>
      <c r="C32" s="34"/>
      <c r="D32" s="34"/>
      <c r="E32" s="34"/>
      <c r="F32" s="98"/>
      <c r="G32" s="34"/>
    </row>
    <row r="33" spans="1:7" ht="56.25">
      <c r="A33" s="48"/>
      <c r="B33" s="14" t="s">
        <v>175</v>
      </c>
      <c r="C33" s="34"/>
      <c r="D33" s="34"/>
      <c r="E33" s="34"/>
      <c r="F33" s="98">
        <v>10078</v>
      </c>
      <c r="G33" s="34"/>
    </row>
    <row r="34" spans="1:7" ht="18.75">
      <c r="A34" s="48"/>
      <c r="B34" s="14" t="s">
        <v>176</v>
      </c>
      <c r="C34" s="34"/>
      <c r="D34" s="34"/>
      <c r="E34" s="34"/>
      <c r="F34" s="98">
        <v>1657.75</v>
      </c>
      <c r="G34" s="34"/>
    </row>
    <row r="35" spans="1:7" ht="18.75">
      <c r="A35" s="48"/>
      <c r="B35" s="33" t="s">
        <v>177</v>
      </c>
      <c r="C35" s="34"/>
      <c r="D35" s="34"/>
      <c r="E35" s="34"/>
      <c r="F35" s="98"/>
      <c r="G35" s="34"/>
    </row>
    <row r="36" spans="1:7" ht="56.25">
      <c r="A36" s="48"/>
      <c r="B36" s="14" t="s">
        <v>178</v>
      </c>
      <c r="C36" s="34"/>
      <c r="D36" s="34"/>
      <c r="E36" s="34"/>
      <c r="F36" s="98">
        <v>6137.98</v>
      </c>
      <c r="G36" s="34"/>
    </row>
    <row r="37" spans="1:7" ht="37.5">
      <c r="A37" s="48"/>
      <c r="B37" s="14" t="s">
        <v>179</v>
      </c>
      <c r="C37" s="34"/>
      <c r="D37" s="34"/>
      <c r="E37" s="34"/>
      <c r="F37" s="98">
        <v>2693.63</v>
      </c>
      <c r="G37" s="34"/>
    </row>
    <row r="38" spans="1:7" ht="18.75">
      <c r="A38" s="48"/>
      <c r="B38" s="33" t="s">
        <v>93</v>
      </c>
      <c r="C38" s="34"/>
      <c r="D38" s="34"/>
      <c r="E38" s="34"/>
      <c r="F38" s="98"/>
      <c r="G38" s="34"/>
    </row>
    <row r="39" spans="1:7" ht="37.5">
      <c r="A39" s="48"/>
      <c r="B39" s="14" t="s">
        <v>180</v>
      </c>
      <c r="C39" s="34"/>
      <c r="D39" s="34"/>
      <c r="E39" s="34"/>
      <c r="F39" s="98">
        <v>9130.25</v>
      </c>
      <c r="G39" s="34"/>
    </row>
    <row r="40" spans="1:7" ht="18.75">
      <c r="A40" s="48"/>
      <c r="B40" s="14" t="s">
        <v>181</v>
      </c>
      <c r="C40" s="34"/>
      <c r="D40" s="34"/>
      <c r="E40" s="34"/>
      <c r="F40" s="98">
        <v>213.29</v>
      </c>
      <c r="G40" s="34"/>
    </row>
    <row r="41" spans="1:7" ht="18.75">
      <c r="A41" s="48"/>
      <c r="B41" s="33" t="s">
        <v>94</v>
      </c>
      <c r="C41" s="34"/>
      <c r="D41" s="34"/>
      <c r="E41" s="34"/>
      <c r="F41" s="98"/>
      <c r="G41" s="34"/>
    </row>
    <row r="42" spans="1:7" ht="56.25">
      <c r="A42" s="48"/>
      <c r="B42" s="14" t="s">
        <v>182</v>
      </c>
      <c r="C42" s="34"/>
      <c r="D42" s="34"/>
      <c r="E42" s="34"/>
      <c r="F42" s="98">
        <v>16060.86</v>
      </c>
      <c r="G42" s="34"/>
    </row>
    <row r="43" spans="1:7" ht="19.5" customHeight="1">
      <c r="A43" s="48"/>
      <c r="B43" s="14" t="s">
        <v>183</v>
      </c>
      <c r="C43" s="34"/>
      <c r="D43" s="34"/>
      <c r="E43" s="34"/>
      <c r="F43" s="98">
        <v>896.7</v>
      </c>
      <c r="G43" s="34"/>
    </row>
    <row r="44" spans="1:7" ht="37.5">
      <c r="A44" s="48"/>
      <c r="B44" s="14" t="s">
        <v>184</v>
      </c>
      <c r="C44" s="34"/>
      <c r="D44" s="34"/>
      <c r="E44" s="34"/>
      <c r="F44" s="98">
        <v>386.18</v>
      </c>
      <c r="G44" s="34"/>
    </row>
    <row r="45" spans="1:7" ht="18.75">
      <c r="A45" s="48"/>
      <c r="B45" s="33" t="s">
        <v>98</v>
      </c>
      <c r="C45" s="34"/>
      <c r="D45" s="34"/>
      <c r="E45" s="34"/>
      <c r="F45" s="98"/>
      <c r="G45" s="34"/>
    </row>
    <row r="46" spans="1:7" ht="36" customHeight="1">
      <c r="A46" s="48"/>
      <c r="B46" s="14" t="s">
        <v>185</v>
      </c>
      <c r="C46" s="34"/>
      <c r="D46" s="34"/>
      <c r="E46" s="34"/>
      <c r="F46" s="98">
        <v>9450.35</v>
      </c>
      <c r="G46" s="34"/>
    </row>
    <row r="47" spans="1:7" ht="18.75" customHeight="1">
      <c r="A47" s="48"/>
      <c r="B47" s="14" t="s">
        <v>186</v>
      </c>
      <c r="C47" s="34"/>
      <c r="D47" s="34"/>
      <c r="E47" s="34"/>
      <c r="F47" s="98">
        <v>1872.86</v>
      </c>
      <c r="G47" s="34"/>
    </row>
    <row r="48" spans="1:7" ht="18.75">
      <c r="A48" s="48"/>
      <c r="B48" s="33" t="s">
        <v>95</v>
      </c>
      <c r="C48" s="34"/>
      <c r="D48" s="34"/>
      <c r="E48" s="34"/>
      <c r="F48" s="98"/>
      <c r="G48" s="34"/>
    </row>
    <row r="49" spans="1:7" ht="112.5" customHeight="1">
      <c r="A49" s="48"/>
      <c r="B49" s="14" t="s">
        <v>187</v>
      </c>
      <c r="C49" s="34"/>
      <c r="D49" s="34"/>
      <c r="E49" s="34"/>
      <c r="F49" s="98">
        <f>SUM(F46:F48)</f>
        <v>11323.210000000001</v>
      </c>
      <c r="G49" s="34"/>
    </row>
    <row r="50" spans="1:7" ht="37.5" customHeight="1">
      <c r="A50" s="48"/>
      <c r="B50" s="14" t="s">
        <v>188</v>
      </c>
      <c r="C50" s="34"/>
      <c r="D50" s="34"/>
      <c r="E50" s="34"/>
      <c r="F50" s="98">
        <v>1056.65</v>
      </c>
      <c r="G50" s="34"/>
    </row>
    <row r="51" spans="1:7" ht="18.75">
      <c r="A51" s="48"/>
      <c r="B51" s="33" t="s">
        <v>96</v>
      </c>
      <c r="C51" s="34"/>
      <c r="D51" s="34"/>
      <c r="E51" s="34"/>
      <c r="F51" s="98"/>
      <c r="G51" s="34"/>
    </row>
    <row r="52" spans="1:7" ht="93.75">
      <c r="A52" s="48"/>
      <c r="B52" s="14" t="s">
        <v>189</v>
      </c>
      <c r="C52" s="34"/>
      <c r="D52" s="34"/>
      <c r="E52" s="34"/>
      <c r="F52" s="98">
        <v>11842.15</v>
      </c>
      <c r="G52" s="34"/>
    </row>
    <row r="53" spans="1:7" ht="38.25" customHeight="1">
      <c r="A53" s="48"/>
      <c r="B53" s="14" t="s">
        <v>190</v>
      </c>
      <c r="C53" s="34"/>
      <c r="D53" s="34"/>
      <c r="E53" s="34"/>
      <c r="F53" s="98">
        <v>2740.72</v>
      </c>
      <c r="G53" s="34"/>
    </row>
    <row r="54" spans="1:7" ht="18.75">
      <c r="A54" s="48"/>
      <c r="B54" s="33" t="s">
        <v>97</v>
      </c>
      <c r="C54" s="34"/>
      <c r="D54" s="34"/>
      <c r="E54" s="34"/>
      <c r="F54" s="98"/>
      <c r="G54" s="34"/>
    </row>
    <row r="55" spans="1:7" ht="35.25" customHeight="1">
      <c r="A55" s="48"/>
      <c r="B55" s="14" t="s">
        <v>246</v>
      </c>
      <c r="C55" s="34"/>
      <c r="D55" s="34"/>
      <c r="E55" s="34"/>
      <c r="F55" s="98">
        <v>5408.11</v>
      </c>
      <c r="G55" s="34"/>
    </row>
    <row r="56" spans="1:7" ht="18.75">
      <c r="A56" s="48"/>
      <c r="B56" s="14" t="s">
        <v>247</v>
      </c>
      <c r="C56" s="34"/>
      <c r="D56" s="34"/>
      <c r="E56" s="34"/>
      <c r="F56" s="98">
        <v>900.7</v>
      </c>
      <c r="G56" s="34"/>
    </row>
    <row r="57" spans="1:7" ht="37.5">
      <c r="A57" s="48"/>
      <c r="B57" s="14" t="s">
        <v>248</v>
      </c>
      <c r="C57" s="34"/>
      <c r="D57" s="34"/>
      <c r="E57" s="34"/>
      <c r="F57" s="98">
        <v>1689.94</v>
      </c>
      <c r="G57" s="34"/>
    </row>
    <row r="58" spans="1:7" ht="18.75">
      <c r="A58" s="14"/>
      <c r="B58" s="14" t="s">
        <v>108</v>
      </c>
      <c r="C58" s="33">
        <f>SUM(C13:C39)</f>
        <v>9.01</v>
      </c>
      <c r="D58" s="33">
        <f>SUM(D13:D39)</f>
        <v>9.6</v>
      </c>
      <c r="E58" s="34">
        <f>SUM(E13:E40)-0.42</f>
        <v>503837.415</v>
      </c>
      <c r="F58" s="98">
        <f>F13+F14+F15+F16+F17+F18</f>
        <v>521674.45499999996</v>
      </c>
      <c r="G58" s="34">
        <f>SUM(G13:G57)</f>
        <v>519811.19999999995</v>
      </c>
    </row>
    <row r="59" spans="1:17" ht="18.75">
      <c r="A59" s="33">
        <v>5</v>
      </c>
      <c r="B59" s="25" t="s">
        <v>26</v>
      </c>
      <c r="C59" s="13">
        <v>1.58</v>
      </c>
      <c r="D59" s="13">
        <v>1.85</v>
      </c>
      <c r="E59" s="34">
        <f>(C59+D59)*6*H59</f>
        <v>92862.10500000001</v>
      </c>
      <c r="F59" s="101">
        <f>E59</f>
        <v>92862.10500000001</v>
      </c>
      <c r="G59" s="16">
        <f>J59*H59*12</f>
        <v>102337.83</v>
      </c>
      <c r="H59">
        <f>H18</f>
        <v>4512.25</v>
      </c>
      <c r="I59" s="2"/>
      <c r="J59">
        <v>1.89</v>
      </c>
      <c r="K59">
        <f>J59/2</f>
        <v>0.945</v>
      </c>
      <c r="O59" t="str">
        <f>C11</f>
        <v>с 1.01-31.06</v>
      </c>
      <c r="P59">
        <f>1.58+1.85</f>
        <v>3.43</v>
      </c>
      <c r="Q59">
        <f>P59/2</f>
        <v>1.715</v>
      </c>
    </row>
    <row r="60" spans="1:7" ht="18.75">
      <c r="A60" s="49"/>
      <c r="B60" s="50"/>
      <c r="C60" s="49"/>
      <c r="D60" s="49"/>
      <c r="E60" s="49"/>
      <c r="F60" s="49"/>
      <c r="G60" s="49"/>
    </row>
    <row r="61" spans="1:7" ht="18.75" customHeight="1">
      <c r="A61" s="179" t="s">
        <v>941</v>
      </c>
      <c r="B61" s="179"/>
      <c r="C61" s="193">
        <v>73018.13</v>
      </c>
      <c r="D61" s="193"/>
      <c r="E61" s="49" t="s">
        <v>18</v>
      </c>
      <c r="F61" s="49"/>
      <c r="G61" s="49"/>
    </row>
    <row r="62" spans="1:7" ht="18.75" customHeight="1">
      <c r="A62" s="179" t="s">
        <v>942</v>
      </c>
      <c r="B62" s="179"/>
      <c r="C62" s="193">
        <v>80036.07</v>
      </c>
      <c r="D62" s="193"/>
      <c r="E62" s="49" t="s">
        <v>18</v>
      </c>
      <c r="F62" s="49"/>
      <c r="G62" s="49"/>
    </row>
    <row r="63" spans="1:7" ht="18.75">
      <c r="A63" s="192" t="s">
        <v>17</v>
      </c>
      <c r="B63" s="192"/>
      <c r="C63" s="192"/>
      <c r="D63" s="192"/>
      <c r="E63" s="192"/>
      <c r="F63" s="192"/>
      <c r="G63" s="192"/>
    </row>
    <row r="64" spans="1:7" ht="18.75" customHeight="1" hidden="1">
      <c r="A64" s="194" t="s">
        <v>35</v>
      </c>
      <c r="B64" s="194"/>
      <c r="C64" s="86" t="e">
        <f>C61-#REF!</f>
        <v>#REF!</v>
      </c>
      <c r="D64" s="49" t="s">
        <v>18</v>
      </c>
      <c r="E64" s="49"/>
      <c r="F64" s="49"/>
      <c r="G64" s="49"/>
    </row>
    <row r="65" spans="1:7" ht="18.75" customHeight="1" hidden="1">
      <c r="A65" s="194" t="s">
        <v>36</v>
      </c>
      <c r="B65" s="194"/>
      <c r="C65" s="89">
        <f>E58-F58</f>
        <v>-17837.03999999998</v>
      </c>
      <c r="D65" s="88" t="str">
        <f>D64</f>
        <v>рублей</v>
      </c>
      <c r="E65" s="73"/>
      <c r="F65" s="73"/>
      <c r="G65" s="73"/>
    </row>
    <row r="66" spans="1:7" ht="12.75">
      <c r="A66" s="73"/>
      <c r="B66" s="73"/>
      <c r="C66" s="73"/>
      <c r="D66" s="73"/>
      <c r="E66" s="73"/>
      <c r="F66" s="73"/>
      <c r="G66" s="73"/>
    </row>
    <row r="67" spans="1:7" ht="12.75">
      <c r="A67" s="73"/>
      <c r="B67" s="73"/>
      <c r="C67" s="73"/>
      <c r="D67" s="73"/>
      <c r="E67" s="73"/>
      <c r="F67" s="73"/>
      <c r="G67" s="73"/>
    </row>
    <row r="68" spans="1:7" ht="12.75">
      <c r="A68" s="73"/>
      <c r="B68" s="73"/>
      <c r="C68" s="73"/>
      <c r="D68" s="73"/>
      <c r="E68" s="73"/>
      <c r="F68" s="73"/>
      <c r="G68" s="73"/>
    </row>
    <row r="69" spans="1:7" ht="12.75">
      <c r="A69" s="73"/>
      <c r="B69" s="73"/>
      <c r="C69" s="73"/>
      <c r="D69" s="73"/>
      <c r="E69" s="73"/>
      <c r="F69" s="73"/>
      <c r="G69" s="73"/>
    </row>
    <row r="70" spans="1:7" ht="12.75">
      <c r="A70" s="73"/>
      <c r="B70" s="73" t="s">
        <v>108</v>
      </c>
      <c r="C70" s="73"/>
      <c r="D70" s="73"/>
      <c r="E70" s="73"/>
      <c r="F70" s="73"/>
      <c r="G70" s="73"/>
    </row>
    <row r="71" spans="1:7" ht="12.75">
      <c r="A71" s="73"/>
      <c r="B71" s="73"/>
      <c r="C71" s="73"/>
      <c r="D71" s="73"/>
      <c r="E71" s="73"/>
      <c r="F71" s="73"/>
      <c r="G71" s="73"/>
    </row>
    <row r="72" spans="1:7" ht="12.75">
      <c r="A72" s="73"/>
      <c r="B72" s="73"/>
      <c r="C72" s="73"/>
      <c r="D72" s="73"/>
      <c r="E72" s="73"/>
      <c r="F72" s="73"/>
      <c r="G72" s="73"/>
    </row>
    <row r="73" spans="1:7" ht="12.75">
      <c r="A73" s="73"/>
      <c r="B73" s="73"/>
      <c r="C73" s="73"/>
      <c r="D73" s="73"/>
      <c r="E73" s="73"/>
      <c r="F73" s="73"/>
      <c r="G73" s="73"/>
    </row>
    <row r="74" spans="1:7" ht="12.75">
      <c r="A74" s="73"/>
      <c r="B74" s="73"/>
      <c r="C74" s="73"/>
      <c r="D74" s="73"/>
      <c r="E74" s="73"/>
      <c r="F74" s="73"/>
      <c r="G74" s="73"/>
    </row>
    <row r="75" spans="1:7" ht="12.75">
      <c r="A75" s="73"/>
      <c r="B75" s="73"/>
      <c r="C75" s="73"/>
      <c r="D75" s="73"/>
      <c r="E75" s="73"/>
      <c r="F75" s="73"/>
      <c r="G75" s="73"/>
    </row>
    <row r="76" spans="1:7" ht="12.75">
      <c r="A76" s="73"/>
      <c r="B76" s="73"/>
      <c r="C76" s="73"/>
      <c r="D76" s="73"/>
      <c r="E76" s="73"/>
      <c r="F76" s="73"/>
      <c r="G76" s="73"/>
    </row>
    <row r="77" spans="1:7" ht="12.75">
      <c r="A77" s="73"/>
      <c r="B77" s="73"/>
      <c r="C77" s="73"/>
      <c r="D77" s="73"/>
      <c r="E77" s="73"/>
      <c r="F77" s="73"/>
      <c r="G77" s="73"/>
    </row>
    <row r="78" spans="1:7" ht="12.75">
      <c r="A78" s="73"/>
      <c r="B78" s="73"/>
      <c r="C78" s="73"/>
      <c r="D78" s="73"/>
      <c r="E78" s="73"/>
      <c r="F78" s="73"/>
      <c r="G78" s="73"/>
    </row>
    <row r="79" spans="1:7" ht="12.75">
      <c r="A79" s="73"/>
      <c r="B79" s="73"/>
      <c r="C79" s="73"/>
      <c r="D79" s="73"/>
      <c r="E79" s="73"/>
      <c r="F79" s="73"/>
      <c r="G79" s="73"/>
    </row>
    <row r="80" spans="1:7" ht="12.75">
      <c r="A80" s="73"/>
      <c r="B80" s="73"/>
      <c r="C80" s="73"/>
      <c r="D80" s="73"/>
      <c r="E80" s="73"/>
      <c r="F80" s="73"/>
      <c r="G80" s="73"/>
    </row>
    <row r="81" spans="1:7" ht="12.75">
      <c r="A81" s="73"/>
      <c r="B81" s="73"/>
      <c r="C81" s="73"/>
      <c r="D81" s="73"/>
      <c r="E81" s="73"/>
      <c r="F81" s="73"/>
      <c r="G81" s="73"/>
    </row>
    <row r="82" spans="1:7" ht="12.75">
      <c r="A82" s="73"/>
      <c r="B82" s="73"/>
      <c r="C82" s="73"/>
      <c r="D82" s="73"/>
      <c r="E82" s="73"/>
      <c r="F82" s="73"/>
      <c r="G82" s="73"/>
    </row>
    <row r="83" spans="1:7" ht="12.75">
      <c r="A83" s="73"/>
      <c r="B83" s="73"/>
      <c r="C83" s="73"/>
      <c r="D83" s="73"/>
      <c r="E83" s="73"/>
      <c r="F83" s="73"/>
      <c r="G83" s="73"/>
    </row>
    <row r="84" spans="1:7" ht="12.75">
      <c r="A84" s="73"/>
      <c r="B84" s="73"/>
      <c r="C84" s="73"/>
      <c r="D84" s="73"/>
      <c r="E84" s="73"/>
      <c r="F84" s="73"/>
      <c r="G84" s="73"/>
    </row>
    <row r="85" spans="1:7" ht="12.75">
      <c r="A85" s="73"/>
      <c r="B85" s="73"/>
      <c r="C85" s="73"/>
      <c r="D85" s="73"/>
      <c r="E85" s="73"/>
      <c r="F85" s="73"/>
      <c r="G85" s="73"/>
    </row>
    <row r="86" spans="1:7" ht="12.75">
      <c r="A86" s="73"/>
      <c r="B86" s="73"/>
      <c r="C86" s="73"/>
      <c r="D86" s="73"/>
      <c r="E86" s="73"/>
      <c r="F86" s="73"/>
      <c r="G86" s="73"/>
    </row>
    <row r="87" spans="1:7" ht="12.75">
      <c r="A87" s="73"/>
      <c r="B87" s="73"/>
      <c r="C87" s="73"/>
      <c r="D87" s="73"/>
      <c r="E87" s="73"/>
      <c r="F87" s="73"/>
      <c r="G87" s="73"/>
    </row>
    <row r="88" spans="1:7" ht="12.75">
      <c r="A88" s="73"/>
      <c r="B88" s="73"/>
      <c r="C88" s="73"/>
      <c r="D88" s="73"/>
      <c r="E88" s="73"/>
      <c r="F88" s="73"/>
      <c r="G88" s="73"/>
    </row>
    <row r="89" spans="1:7" ht="12.75">
      <c r="A89" s="73"/>
      <c r="B89" s="73"/>
      <c r="C89" s="73"/>
      <c r="D89" s="73"/>
      <c r="E89" s="73"/>
      <c r="F89" s="73"/>
      <c r="G89" s="73"/>
    </row>
    <row r="90" spans="1:7" ht="12.75">
      <c r="A90" s="73"/>
      <c r="B90" s="73"/>
      <c r="C90" s="73"/>
      <c r="D90" s="73"/>
      <c r="E90" s="73"/>
      <c r="F90" s="73"/>
      <c r="G90" s="73"/>
    </row>
    <row r="91" spans="1:7" ht="12.75">
      <c r="A91" s="73"/>
      <c r="B91" s="73"/>
      <c r="C91" s="73"/>
      <c r="D91" s="73"/>
      <c r="E91" s="73"/>
      <c r="F91" s="73"/>
      <c r="G91" s="73"/>
    </row>
    <row r="92" spans="1:7" ht="12.75">
      <c r="A92" s="73"/>
      <c r="B92" s="73"/>
      <c r="C92" s="73"/>
      <c r="D92" s="73"/>
      <c r="E92" s="73"/>
      <c r="F92" s="73"/>
      <c r="G92" s="73"/>
    </row>
    <row r="93" spans="1:7" ht="12.75">
      <c r="A93" s="73"/>
      <c r="B93" s="73"/>
      <c r="C93" s="73"/>
      <c r="D93" s="73"/>
      <c r="E93" s="73"/>
      <c r="F93" s="73"/>
      <c r="G93" s="73"/>
    </row>
    <row r="94" spans="1:7" ht="12.75">
      <c r="A94" s="73"/>
      <c r="B94" s="73"/>
      <c r="C94" s="73"/>
      <c r="D94" s="73"/>
      <c r="E94" s="73"/>
      <c r="F94" s="73"/>
      <c r="G94" s="73"/>
    </row>
    <row r="95" spans="1:7" ht="12.75">
      <c r="A95" s="73"/>
      <c r="B95" s="73"/>
      <c r="C95" s="73"/>
      <c r="D95" s="73"/>
      <c r="E95" s="73"/>
      <c r="F95" s="73"/>
      <c r="G95" s="73"/>
    </row>
    <row r="96" spans="1:7" ht="12.75">
      <c r="A96" s="73"/>
      <c r="B96" s="73"/>
      <c r="C96" s="73"/>
      <c r="D96" s="73"/>
      <c r="E96" s="73"/>
      <c r="F96" s="73"/>
      <c r="G96" s="73"/>
    </row>
    <row r="97" spans="1:7" ht="12.75">
      <c r="A97" s="73"/>
      <c r="B97" s="73"/>
      <c r="C97" s="73"/>
      <c r="D97" s="73"/>
      <c r="E97" s="73"/>
      <c r="F97" s="73"/>
      <c r="G97" s="73"/>
    </row>
    <row r="98" spans="1:7" ht="12.75">
      <c r="A98" s="73"/>
      <c r="B98" s="73"/>
      <c r="C98" s="73"/>
      <c r="D98" s="73"/>
      <c r="E98" s="73"/>
      <c r="F98" s="73"/>
      <c r="G98" s="73"/>
    </row>
  </sheetData>
  <sheetProtection/>
  <mergeCells count="16">
    <mergeCell ref="A1:G2"/>
    <mergeCell ref="A3:G3"/>
    <mergeCell ref="A4:G5"/>
    <mergeCell ref="A9:A11"/>
    <mergeCell ref="B9:B11"/>
    <mergeCell ref="C9:D10"/>
    <mergeCell ref="E9:E11"/>
    <mergeCell ref="F9:F11"/>
    <mergeCell ref="G9:G11"/>
    <mergeCell ref="A63:G63"/>
    <mergeCell ref="A61:B61"/>
    <mergeCell ref="C61:D61"/>
    <mergeCell ref="C62:D62"/>
    <mergeCell ref="A64:B64"/>
    <mergeCell ref="A65:B65"/>
    <mergeCell ref="A62:B6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  <rowBreaks count="1" manualBreakCount="1">
    <brk id="34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AK55"/>
  <sheetViews>
    <sheetView view="pageBreakPreview" zoomScale="75" zoomScaleSheetLayoutView="75" zoomScalePageLayoutView="0" workbookViewId="0" topLeftCell="A28">
      <selection activeCell="E49" sqref="E49"/>
    </sheetView>
  </sheetViews>
  <sheetFormatPr defaultColWidth="9.00390625" defaultRowHeight="12.75"/>
  <cols>
    <col min="1" max="1" width="9.25390625" style="0" bestFit="1" customWidth="1"/>
    <col min="2" max="2" width="85.25390625" style="0" customWidth="1"/>
    <col min="3" max="3" width="9.625" style="0" customWidth="1"/>
    <col min="4" max="4" width="11.75390625" style="0" customWidth="1"/>
    <col min="5" max="5" width="14.75390625" style="0" customWidth="1"/>
    <col min="6" max="6" width="15.625" style="0" bestFit="1" customWidth="1"/>
    <col min="7" max="7" width="12.875" style="0" bestFit="1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1" width="9.25390625" style="0" hidden="1" customWidth="1"/>
    <col min="22" max="23" width="11.00390625" style="0" hidden="1" customWidth="1"/>
    <col min="24" max="29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39.75" customHeight="1">
      <c r="A3" s="182" t="s">
        <v>60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1644.2445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44" t="s">
        <v>99</v>
      </c>
      <c r="F9" s="247" t="s">
        <v>74</v>
      </c>
      <c r="G9" s="244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67.5" customHeight="1">
      <c r="A10" s="212"/>
      <c r="B10" s="212"/>
      <c r="C10" s="216"/>
      <c r="D10" s="217"/>
      <c r="E10" s="245"/>
      <c r="F10" s="248"/>
      <c r="G10" s="245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111.75" customHeight="1">
      <c r="A11" s="213"/>
      <c r="B11" s="213"/>
      <c r="C11" s="124" t="s">
        <v>107</v>
      </c>
      <c r="D11" s="124" t="s">
        <v>106</v>
      </c>
      <c r="E11" s="246"/>
      <c r="F11" s="249"/>
      <c r="G11" s="246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37.5">
      <c r="A12" s="13" t="s">
        <v>12</v>
      </c>
      <c r="B12" s="14" t="s">
        <v>20</v>
      </c>
      <c r="C12" s="93"/>
      <c r="D12" s="93"/>
      <c r="E12" s="13"/>
      <c r="F12" s="13"/>
      <c r="G12" s="1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2" ht="18.75">
      <c r="A13" s="15" t="s">
        <v>13</v>
      </c>
      <c r="B13" s="14" t="s">
        <v>10</v>
      </c>
      <c r="C13" s="34">
        <v>1.09</v>
      </c>
      <c r="D13" s="34">
        <v>1.14</v>
      </c>
      <c r="E13" s="16">
        <f aca="true" t="shared" si="0" ref="E13:E18">AD13*AE13*6</f>
        <v>21999.99141</v>
      </c>
      <c r="F13" s="16">
        <f>E13</f>
        <v>21999.99141</v>
      </c>
      <c r="G13" s="16">
        <f aca="true" t="shared" si="1" ref="G13:G18">AD13*AF13*12</f>
        <v>22493.26476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1644.2445</v>
      </c>
      <c r="K13">
        <v>6</v>
      </c>
      <c r="L13">
        <v>2</v>
      </c>
      <c r="M13">
        <v>4</v>
      </c>
      <c r="N13" s="20">
        <f aca="true" t="shared" si="4" ref="N13:N18">C13*J13*K13</f>
        <v>10753.35903</v>
      </c>
      <c r="O13" s="20" t="e">
        <f>J13*#REF!*L13</f>
        <v>#REF!</v>
      </c>
      <c r="P13" s="20">
        <f aca="true" t="shared" si="5" ref="P13:P18">D13*J13*M13</f>
        <v>7497.754919999999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10358.74035</v>
      </c>
      <c r="W13">
        <f aca="true" t="shared" si="8" ref="W13:W18">U13*S13*J13</f>
        <v>10753.359030000001</v>
      </c>
      <c r="X13">
        <f aca="true" t="shared" si="9" ref="X13:X18">SUM(V13:W13)</f>
        <v>21112.09938</v>
      </c>
      <c r="AD13" s="69">
        <f>C7</f>
        <v>1644.2445</v>
      </c>
      <c r="AE13" s="22">
        <f aca="true" t="shared" si="10" ref="AE13:AE18">C13+D13</f>
        <v>2.23</v>
      </c>
      <c r="AF13" s="34">
        <v>1.14</v>
      </c>
    </row>
    <row r="14" spans="1:32" ht="18.75">
      <c r="A14" s="15" t="s">
        <v>14</v>
      </c>
      <c r="B14" s="14" t="s">
        <v>15</v>
      </c>
      <c r="C14" s="34">
        <v>1.39</v>
      </c>
      <c r="D14" s="34">
        <v>1.46</v>
      </c>
      <c r="E14" s="16">
        <f t="shared" si="0"/>
        <v>28116.580949999996</v>
      </c>
      <c r="F14" s="16">
        <f>E14</f>
        <v>28116.580949999996</v>
      </c>
      <c r="G14" s="16">
        <f t="shared" si="1"/>
        <v>28807.16364</v>
      </c>
      <c r="H14" s="17">
        <f t="shared" si="2"/>
        <v>1.4594110115189</v>
      </c>
      <c r="I14" s="18">
        <f t="shared" si="3"/>
        <v>1.5572983354607999</v>
      </c>
      <c r="J14" s="19">
        <f>J13</f>
        <v>1644.2445</v>
      </c>
      <c r="K14">
        <v>6</v>
      </c>
      <c r="L14">
        <v>2</v>
      </c>
      <c r="M14">
        <v>4</v>
      </c>
      <c r="N14" s="20">
        <f t="shared" si="4"/>
        <v>13712.99913</v>
      </c>
      <c r="O14" s="20" t="e">
        <f>J14*#REF!*L14</f>
        <v>#REF!</v>
      </c>
      <c r="P14" s="20">
        <f t="shared" si="5"/>
        <v>9602.38788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13121.07111</v>
      </c>
      <c r="W14">
        <f t="shared" si="8"/>
        <v>13712.99913</v>
      </c>
      <c r="X14">
        <f t="shared" si="9"/>
        <v>26834.07024</v>
      </c>
      <c r="AD14">
        <f>AD13</f>
        <v>1644.2445</v>
      </c>
      <c r="AE14" s="22">
        <f t="shared" si="10"/>
        <v>2.8499999999999996</v>
      </c>
      <c r="AF14" s="34">
        <v>1.46</v>
      </c>
    </row>
    <row r="15" spans="1:32" ht="18.75">
      <c r="A15" s="15" t="s">
        <v>16</v>
      </c>
      <c r="B15" s="14" t="s">
        <v>7</v>
      </c>
      <c r="C15" s="34"/>
      <c r="D15" s="34"/>
      <c r="E15" s="16"/>
      <c r="F15" s="16"/>
      <c r="G15" s="16"/>
      <c r="H15" s="17">
        <f t="shared" si="2"/>
        <v>0</v>
      </c>
      <c r="I15" s="18">
        <f t="shared" si="3"/>
        <v>0</v>
      </c>
      <c r="J15" s="19">
        <f>J14</f>
        <v>1644.2445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1282.51071</v>
      </c>
      <c r="W15">
        <f t="shared" si="8"/>
        <v>0</v>
      </c>
      <c r="X15">
        <f t="shared" si="9"/>
        <v>1282.51071</v>
      </c>
      <c r="AD15">
        <f>AD14</f>
        <v>1644.2445</v>
      </c>
      <c r="AE15" s="22">
        <f t="shared" si="10"/>
        <v>0</v>
      </c>
      <c r="AF15" s="34">
        <v>0</v>
      </c>
    </row>
    <row r="16" spans="1:32" ht="18.75">
      <c r="A16" s="15" t="s">
        <v>21</v>
      </c>
      <c r="B16" s="14" t="s">
        <v>11</v>
      </c>
      <c r="C16" s="34">
        <v>0.82</v>
      </c>
      <c r="D16" s="34">
        <v>0.58</v>
      </c>
      <c r="E16" s="16">
        <f t="shared" si="0"/>
        <v>13811.653799999998</v>
      </c>
      <c r="F16" s="16">
        <f>E16</f>
        <v>13811.653799999998</v>
      </c>
      <c r="G16" s="16">
        <f t="shared" si="1"/>
        <v>11443.941719999999</v>
      </c>
      <c r="H16" s="17">
        <f t="shared" si="2"/>
        <v>0.8609475031982</v>
      </c>
      <c r="I16" s="18">
        <f t="shared" si="3"/>
        <v>0.9186939820703999</v>
      </c>
      <c r="J16" s="19">
        <f>J15</f>
        <v>1644.2445</v>
      </c>
      <c r="K16">
        <v>6</v>
      </c>
      <c r="L16">
        <v>2</v>
      </c>
      <c r="M16">
        <v>4</v>
      </c>
      <c r="N16" s="20">
        <f t="shared" si="4"/>
        <v>8089.682939999999</v>
      </c>
      <c r="O16" s="20" t="e">
        <f>J16*#REF!*L16</f>
        <v>#REF!</v>
      </c>
      <c r="P16" s="20">
        <f t="shared" si="5"/>
        <v>3814.64724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7793.718930000001</v>
      </c>
      <c r="W16">
        <f t="shared" si="8"/>
        <v>8089.68294</v>
      </c>
      <c r="X16">
        <f t="shared" si="9"/>
        <v>15883.401870000002</v>
      </c>
      <c r="AD16">
        <f>AD15</f>
        <v>1644.2445</v>
      </c>
      <c r="AE16" s="22">
        <f t="shared" si="10"/>
        <v>1.4</v>
      </c>
      <c r="AF16" s="34">
        <v>0.58</v>
      </c>
    </row>
    <row r="17" spans="1:32" ht="18.75">
      <c r="A17" s="15" t="s">
        <v>22</v>
      </c>
      <c r="B17" s="14" t="s">
        <v>19</v>
      </c>
      <c r="C17" s="34">
        <v>1.24</v>
      </c>
      <c r="D17" s="34">
        <v>1.24</v>
      </c>
      <c r="E17" s="16">
        <f t="shared" si="0"/>
        <v>24466.35816</v>
      </c>
      <c r="F17" s="16">
        <f>E17</f>
        <v>24466.35816</v>
      </c>
      <c r="G17" s="16">
        <f t="shared" si="1"/>
        <v>24466.35816</v>
      </c>
      <c r="H17" s="17">
        <f t="shared" si="2"/>
        <v>1.3019206145924</v>
      </c>
      <c r="I17" s="18">
        <f t="shared" si="3"/>
        <v>1.3892445582528</v>
      </c>
      <c r="J17" s="19">
        <f>J16</f>
        <v>1644.2445</v>
      </c>
      <c r="K17">
        <v>6</v>
      </c>
      <c r="L17">
        <v>2</v>
      </c>
      <c r="M17">
        <v>4</v>
      </c>
      <c r="N17" s="20">
        <f t="shared" si="4"/>
        <v>12233.17908</v>
      </c>
      <c r="O17" s="20" t="e">
        <f>J17*#REF!*L17</f>
        <v>#REF!</v>
      </c>
      <c r="P17" s="20">
        <f t="shared" si="5"/>
        <v>8155.45272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12233.17908</v>
      </c>
      <c r="W17">
        <f t="shared" si="8"/>
        <v>12233.17908</v>
      </c>
      <c r="X17">
        <f t="shared" si="9"/>
        <v>24466.35816</v>
      </c>
      <c r="AD17">
        <f>AD16</f>
        <v>1644.2445</v>
      </c>
      <c r="AE17" s="22">
        <f t="shared" si="10"/>
        <v>2.48</v>
      </c>
      <c r="AF17" s="34">
        <v>1.24</v>
      </c>
    </row>
    <row r="18" spans="1:32" ht="36" customHeight="1">
      <c r="A18" s="15" t="s">
        <v>23</v>
      </c>
      <c r="B18" s="14" t="s">
        <v>24</v>
      </c>
      <c r="C18" s="34">
        <v>4.47</v>
      </c>
      <c r="D18" s="34">
        <v>5.18</v>
      </c>
      <c r="E18" s="16">
        <f t="shared" si="0"/>
        <v>95201.75654999999</v>
      </c>
      <c r="F18" s="101">
        <f>F20+F22+F23+F25+F26+F27+F29+F31+F33+F34+F36+F38+F39+F41+F42+F44+F46</f>
        <v>74591.98000000001</v>
      </c>
      <c r="G18" s="16">
        <f t="shared" si="1"/>
        <v>102206.23812</v>
      </c>
      <c r="H18" s="17">
        <f t="shared" si="2"/>
        <v>4.6932138284097</v>
      </c>
      <c r="I18" s="18">
        <f t="shared" si="3"/>
        <v>5.008002560798399</v>
      </c>
      <c r="J18" s="19">
        <f>J17</f>
        <v>1644.2445</v>
      </c>
      <c r="K18">
        <v>6</v>
      </c>
      <c r="L18">
        <v>2</v>
      </c>
      <c r="M18">
        <v>4</v>
      </c>
      <c r="N18" s="20">
        <f t="shared" si="4"/>
        <v>44098.637489999994</v>
      </c>
      <c r="O18" s="20" t="e">
        <f>J18*#REF!*L18</f>
        <v>#REF!</v>
      </c>
      <c r="P18" s="20">
        <f t="shared" si="5"/>
        <v>34068.74604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41533.61607</v>
      </c>
      <c r="W18">
        <f t="shared" si="8"/>
        <v>45578.457539999996</v>
      </c>
      <c r="X18">
        <f t="shared" si="9"/>
        <v>87112.07360999999</v>
      </c>
      <c r="AD18">
        <f>AD17</f>
        <v>1644.2445</v>
      </c>
      <c r="AE18" s="22">
        <f t="shared" si="10"/>
        <v>9.649999999999999</v>
      </c>
      <c r="AF18" s="34">
        <v>5.18</v>
      </c>
    </row>
    <row r="19" spans="1:19" ht="18.75">
      <c r="A19" s="15"/>
      <c r="B19" s="34" t="s">
        <v>75</v>
      </c>
      <c r="C19" s="75"/>
      <c r="D19" s="75"/>
      <c r="E19" s="16"/>
      <c r="F19" s="101"/>
      <c r="G19" s="16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18.75">
      <c r="A20" s="15"/>
      <c r="B20" s="14" t="s">
        <v>617</v>
      </c>
      <c r="C20" s="75"/>
      <c r="D20" s="75"/>
      <c r="E20" s="16"/>
      <c r="F20" s="101">
        <v>1298.45</v>
      </c>
      <c r="G20" s="16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15"/>
      <c r="B21" s="33" t="s">
        <v>88</v>
      </c>
      <c r="C21" s="75"/>
      <c r="D21" s="75"/>
      <c r="E21" s="16"/>
      <c r="F21" s="108"/>
      <c r="G21" s="16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37.5">
      <c r="A22" s="15"/>
      <c r="B22" s="14" t="s">
        <v>618</v>
      </c>
      <c r="C22" s="75"/>
      <c r="D22" s="75"/>
      <c r="E22" s="16"/>
      <c r="F22" s="108">
        <v>4891.83</v>
      </c>
      <c r="G22" s="16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15"/>
      <c r="B23" s="14" t="s">
        <v>619</v>
      </c>
      <c r="C23" s="75"/>
      <c r="D23" s="75"/>
      <c r="E23" s="16"/>
      <c r="F23" s="108">
        <v>1961.35</v>
      </c>
      <c r="G23" s="16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15"/>
      <c r="B24" s="33" t="s">
        <v>89</v>
      </c>
      <c r="C24" s="75"/>
      <c r="D24" s="75"/>
      <c r="E24" s="16"/>
      <c r="F24" s="108"/>
      <c r="G24" s="16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22.5" customHeight="1">
      <c r="A25" s="15"/>
      <c r="B25" s="14" t="s">
        <v>620</v>
      </c>
      <c r="C25" s="75"/>
      <c r="D25" s="75"/>
      <c r="E25" s="16"/>
      <c r="F25" s="108">
        <v>3912.26</v>
      </c>
      <c r="G25" s="16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22.5" customHeight="1">
      <c r="A26" s="15"/>
      <c r="B26" s="14" t="s">
        <v>622</v>
      </c>
      <c r="C26" s="75"/>
      <c r="D26" s="75"/>
      <c r="E26" s="16"/>
      <c r="F26" s="108">
        <v>2340.99</v>
      </c>
      <c r="G26" s="16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22.5" customHeight="1">
      <c r="A27" s="15"/>
      <c r="B27" s="14" t="s">
        <v>600</v>
      </c>
      <c r="C27" s="75"/>
      <c r="D27" s="75"/>
      <c r="E27" s="16"/>
      <c r="F27" s="108">
        <v>313.81</v>
      </c>
      <c r="G27" s="16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15"/>
      <c r="B28" s="33" t="s">
        <v>623</v>
      </c>
      <c r="C28" s="75"/>
      <c r="D28" s="75"/>
      <c r="E28" s="16"/>
      <c r="F28" s="108"/>
      <c r="G28" s="16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15"/>
      <c r="B29" s="14" t="s">
        <v>624</v>
      </c>
      <c r="C29" s="75"/>
      <c r="D29" s="75"/>
      <c r="E29" s="16"/>
      <c r="F29" s="108">
        <v>5972.81</v>
      </c>
      <c r="G29" s="16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18.75">
      <c r="A30" s="15"/>
      <c r="B30" s="33" t="s">
        <v>625</v>
      </c>
      <c r="C30" s="75"/>
      <c r="D30" s="75"/>
      <c r="E30" s="16"/>
      <c r="F30" s="108"/>
      <c r="G30" s="16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15"/>
      <c r="B31" s="14" t="s">
        <v>28</v>
      </c>
      <c r="C31" s="75"/>
      <c r="D31" s="75"/>
      <c r="E31" s="16"/>
      <c r="F31" s="108">
        <v>2770</v>
      </c>
      <c r="G31" s="16"/>
      <c r="H31" s="17"/>
      <c r="I31" s="18"/>
      <c r="J31" s="19"/>
      <c r="N31" s="20"/>
      <c r="O31" s="20"/>
      <c r="P31" s="20"/>
      <c r="Q31" s="21"/>
      <c r="R31" s="22"/>
      <c r="S31" s="22"/>
    </row>
    <row r="32" spans="1:24" ht="18.75">
      <c r="A32" s="15"/>
      <c r="B32" s="33" t="s">
        <v>93</v>
      </c>
      <c r="C32" s="75"/>
      <c r="D32" s="75"/>
      <c r="E32" s="23"/>
      <c r="F32" s="108"/>
      <c r="G32" s="23"/>
      <c r="H32" s="17"/>
      <c r="I32" s="18"/>
      <c r="J32" s="19"/>
      <c r="K32">
        <v>6</v>
      </c>
      <c r="L32">
        <v>2</v>
      </c>
      <c r="M32">
        <v>4</v>
      </c>
      <c r="N32" s="20">
        <f>C32*J32*K32</f>
        <v>0</v>
      </c>
      <c r="O32" s="20" t="e">
        <f>J32*#REF!*L32</f>
        <v>#REF!</v>
      </c>
      <c r="P32" s="20">
        <f>D32*J32*M32</f>
        <v>0</v>
      </c>
      <c r="Q32" s="24"/>
      <c r="R32" s="22"/>
      <c r="V32">
        <f>J32*R32*U32</f>
        <v>0</v>
      </c>
      <c r="W32">
        <f>U32*S32*J32</f>
        <v>0</v>
      </c>
      <c r="X32">
        <f>SUM(V32:W32)</f>
        <v>0</v>
      </c>
    </row>
    <row r="33" spans="1:24" ht="18.75">
      <c r="A33" s="15"/>
      <c r="B33" s="14" t="s">
        <v>626</v>
      </c>
      <c r="C33" s="75"/>
      <c r="D33" s="75"/>
      <c r="E33" s="23"/>
      <c r="F33" s="108">
        <v>4076.05</v>
      </c>
      <c r="G33" s="23"/>
      <c r="H33" s="17"/>
      <c r="I33" s="18"/>
      <c r="J33" s="19"/>
      <c r="K33">
        <v>6</v>
      </c>
      <c r="L33">
        <v>2</v>
      </c>
      <c r="M33">
        <v>4</v>
      </c>
      <c r="N33" s="20">
        <f>C33*J33*K33</f>
        <v>0</v>
      </c>
      <c r="O33" s="20" t="e">
        <f>J33*#REF!*L33</f>
        <v>#REF!</v>
      </c>
      <c r="P33" s="20">
        <f>D33*J33*M33</f>
        <v>0</v>
      </c>
      <c r="Q33" s="24"/>
      <c r="R33" s="22"/>
      <c r="V33">
        <f>J33*R33*U33</f>
        <v>0</v>
      </c>
      <c r="W33">
        <f>U33*S33*J33</f>
        <v>0</v>
      </c>
      <c r="X33">
        <f>SUM(V33:W33)</f>
        <v>0</v>
      </c>
    </row>
    <row r="34" spans="1:18" ht="37.5">
      <c r="A34" s="15"/>
      <c r="B34" s="14" t="s">
        <v>627</v>
      </c>
      <c r="C34" s="75"/>
      <c r="D34" s="75"/>
      <c r="E34" s="23"/>
      <c r="F34" s="108">
        <v>17481.52</v>
      </c>
      <c r="G34" s="23"/>
      <c r="H34" s="17"/>
      <c r="I34" s="18"/>
      <c r="J34" s="19"/>
      <c r="N34" s="20"/>
      <c r="O34" s="20"/>
      <c r="P34" s="20"/>
      <c r="Q34" s="24"/>
      <c r="R34" s="22"/>
    </row>
    <row r="35" spans="1:18" ht="18.75">
      <c r="A35" s="15"/>
      <c r="B35" s="33" t="s">
        <v>94</v>
      </c>
      <c r="C35" s="75"/>
      <c r="D35" s="75"/>
      <c r="E35" s="23"/>
      <c r="F35" s="108"/>
      <c r="G35" s="23"/>
      <c r="H35" s="17"/>
      <c r="I35" s="18"/>
      <c r="J35" s="19"/>
      <c r="N35" s="20"/>
      <c r="O35" s="20"/>
      <c r="P35" s="20"/>
      <c r="Q35" s="24"/>
      <c r="R35" s="22"/>
    </row>
    <row r="36" spans="1:18" ht="18.75">
      <c r="A36" s="15"/>
      <c r="B36" s="14" t="s">
        <v>628</v>
      </c>
      <c r="C36" s="75"/>
      <c r="D36" s="75"/>
      <c r="E36" s="23"/>
      <c r="F36" s="108">
        <v>4717</v>
      </c>
      <c r="G36" s="23"/>
      <c r="H36" s="17"/>
      <c r="I36" s="18"/>
      <c r="J36" s="19"/>
      <c r="N36" s="20"/>
      <c r="O36" s="20"/>
      <c r="P36" s="20"/>
      <c r="Q36" s="24"/>
      <c r="R36" s="22"/>
    </row>
    <row r="37" spans="1:18" ht="18.75">
      <c r="A37" s="15"/>
      <c r="B37" s="33" t="s">
        <v>98</v>
      </c>
      <c r="C37" s="75"/>
      <c r="D37" s="75"/>
      <c r="E37" s="23"/>
      <c r="F37" s="108"/>
      <c r="G37" s="23"/>
      <c r="H37" s="17"/>
      <c r="I37" s="18"/>
      <c r="J37" s="19"/>
      <c r="N37" s="20"/>
      <c r="O37" s="20"/>
      <c r="P37" s="20"/>
      <c r="Q37" s="24"/>
      <c r="R37" s="22"/>
    </row>
    <row r="38" spans="1:18" ht="18.75">
      <c r="A38" s="15"/>
      <c r="B38" s="14" t="s">
        <v>630</v>
      </c>
      <c r="C38" s="75"/>
      <c r="D38" s="75"/>
      <c r="E38" s="23"/>
      <c r="F38" s="108">
        <v>1972.66</v>
      </c>
      <c r="G38" s="23"/>
      <c r="H38" s="17"/>
      <c r="I38" s="18"/>
      <c r="J38" s="19"/>
      <c r="N38" s="20"/>
      <c r="O38" s="20"/>
      <c r="P38" s="20"/>
      <c r="Q38" s="24"/>
      <c r="R38" s="22"/>
    </row>
    <row r="39" spans="1:18" ht="18.75">
      <c r="A39" s="15"/>
      <c r="B39" s="14" t="s">
        <v>629</v>
      </c>
      <c r="C39" s="75"/>
      <c r="D39" s="75"/>
      <c r="E39" s="23"/>
      <c r="F39" s="108">
        <v>1319.22</v>
      </c>
      <c r="G39" s="23"/>
      <c r="H39" s="17"/>
      <c r="I39" s="18"/>
      <c r="J39" s="19"/>
      <c r="N39" s="20"/>
      <c r="O39" s="20"/>
      <c r="P39" s="20"/>
      <c r="Q39" s="24"/>
      <c r="R39" s="22"/>
    </row>
    <row r="40" spans="1:18" ht="18.75">
      <c r="A40" s="15"/>
      <c r="B40" s="33" t="s">
        <v>95</v>
      </c>
      <c r="C40" s="75"/>
      <c r="D40" s="75"/>
      <c r="E40" s="23"/>
      <c r="F40" s="108"/>
      <c r="G40" s="23"/>
      <c r="H40" s="17"/>
      <c r="I40" s="18"/>
      <c r="J40" s="19"/>
      <c r="N40" s="20"/>
      <c r="O40" s="20"/>
      <c r="P40" s="20"/>
      <c r="Q40" s="24"/>
      <c r="R40" s="22"/>
    </row>
    <row r="41" spans="1:18" ht="37.5">
      <c r="A41" s="15"/>
      <c r="B41" s="14" t="s">
        <v>631</v>
      </c>
      <c r="C41" s="75"/>
      <c r="D41" s="75"/>
      <c r="E41" s="23"/>
      <c r="F41" s="108">
        <v>9783.51</v>
      </c>
      <c r="G41" s="23"/>
      <c r="H41" s="17"/>
      <c r="I41" s="18"/>
      <c r="J41" s="19"/>
      <c r="N41" s="20"/>
      <c r="O41" s="20"/>
      <c r="P41" s="20"/>
      <c r="Q41" s="24"/>
      <c r="R41" s="22"/>
    </row>
    <row r="42" spans="1:18" ht="18.75">
      <c r="A42" s="15"/>
      <c r="B42" s="14" t="s">
        <v>632</v>
      </c>
      <c r="C42" s="75"/>
      <c r="D42" s="75"/>
      <c r="E42" s="23"/>
      <c r="F42" s="108">
        <v>1471.18</v>
      </c>
      <c r="G42" s="23"/>
      <c r="H42" s="17"/>
      <c r="I42" s="18"/>
      <c r="J42" s="19"/>
      <c r="N42" s="20"/>
      <c r="O42" s="20"/>
      <c r="P42" s="20"/>
      <c r="Q42" s="24"/>
      <c r="R42" s="22"/>
    </row>
    <row r="43" spans="1:18" ht="18.75">
      <c r="A43" s="15"/>
      <c r="B43" s="33" t="s">
        <v>96</v>
      </c>
      <c r="C43" s="75"/>
      <c r="D43" s="75"/>
      <c r="E43" s="23"/>
      <c r="F43" s="108"/>
      <c r="G43" s="23"/>
      <c r="H43" s="17"/>
      <c r="I43" s="18"/>
      <c r="J43" s="19"/>
      <c r="N43" s="20"/>
      <c r="O43" s="20"/>
      <c r="P43" s="20"/>
      <c r="Q43" s="24"/>
      <c r="R43" s="22"/>
    </row>
    <row r="44" spans="1:18" ht="18.75">
      <c r="A44" s="15"/>
      <c r="B44" s="14" t="s">
        <v>633</v>
      </c>
      <c r="C44" s="75"/>
      <c r="D44" s="75"/>
      <c r="E44" s="23"/>
      <c r="F44" s="108">
        <v>4096.15</v>
      </c>
      <c r="G44" s="23"/>
      <c r="H44" s="17"/>
      <c r="I44" s="18"/>
      <c r="J44" s="19"/>
      <c r="N44" s="20"/>
      <c r="O44" s="20"/>
      <c r="P44" s="20"/>
      <c r="Q44" s="24"/>
      <c r="R44" s="22"/>
    </row>
    <row r="45" spans="1:18" ht="18.75">
      <c r="A45" s="15"/>
      <c r="B45" s="33" t="s">
        <v>97</v>
      </c>
      <c r="C45" s="75"/>
      <c r="D45" s="75"/>
      <c r="E45" s="23"/>
      <c r="F45" s="108"/>
      <c r="G45" s="23"/>
      <c r="H45" s="17"/>
      <c r="I45" s="18"/>
      <c r="J45" s="19"/>
      <c r="N45" s="20"/>
      <c r="O45" s="20"/>
      <c r="P45" s="20"/>
      <c r="Q45" s="24"/>
      <c r="R45" s="22"/>
    </row>
    <row r="46" spans="1:18" ht="18.75">
      <c r="A46" s="15"/>
      <c r="B46" s="14" t="s">
        <v>634</v>
      </c>
      <c r="C46" s="75"/>
      <c r="D46" s="75"/>
      <c r="E46" s="23"/>
      <c r="F46" s="108">
        <v>6213.19</v>
      </c>
      <c r="G46" s="23"/>
      <c r="H46" s="17"/>
      <c r="I46" s="18"/>
      <c r="J46" s="19"/>
      <c r="N46" s="20"/>
      <c r="O46" s="20"/>
      <c r="P46" s="20"/>
      <c r="Q46" s="24"/>
      <c r="R46" s="22"/>
    </row>
    <row r="47" spans="1:18" ht="37.5">
      <c r="A47" s="15"/>
      <c r="B47" s="14" t="s">
        <v>943</v>
      </c>
      <c r="C47" s="75"/>
      <c r="D47" s="75"/>
      <c r="E47" s="23"/>
      <c r="F47" s="108"/>
      <c r="G47" s="23"/>
      <c r="H47" s="17"/>
      <c r="I47" s="18"/>
      <c r="J47" s="19"/>
      <c r="N47" s="20"/>
      <c r="O47" s="20"/>
      <c r="P47" s="20"/>
      <c r="Q47" s="24"/>
      <c r="R47" s="22"/>
    </row>
    <row r="48" spans="1:24" ht="18.75">
      <c r="A48" s="12"/>
      <c r="B48" s="14" t="s">
        <v>9</v>
      </c>
      <c r="C48" s="95">
        <f>SUM(C13:C33)</f>
        <v>9.01</v>
      </c>
      <c r="D48" s="95">
        <f>SUM(D13:D33)</f>
        <v>9.6</v>
      </c>
      <c r="E48" s="16">
        <f>SUM(E13:E33)+0.04</f>
        <v>183596.38087</v>
      </c>
      <c r="F48" s="16">
        <f>F13+F14+F15+F16+F17+F18</f>
        <v>162986.56432</v>
      </c>
      <c r="G48" s="16">
        <f>G13+G14+G15+G16+G17+G18</f>
        <v>189416.96639999998</v>
      </c>
      <c r="H48" s="17">
        <f>1.04993597951*C48</f>
        <v>9.4599231753851</v>
      </c>
      <c r="I48" s="18">
        <f>1.12035851472*C48</f>
        <v>10.094430217627199</v>
      </c>
      <c r="J48" s="19">
        <f>J18</f>
        <v>1644.2445</v>
      </c>
      <c r="N48" s="20"/>
      <c r="Q48" s="24"/>
      <c r="R48" s="22">
        <f>SUM(R13:R33)</f>
        <v>8.75</v>
      </c>
      <c r="S48" s="22">
        <f>SUM(S13:S33)</f>
        <v>9.16</v>
      </c>
      <c r="T48" s="22"/>
      <c r="U48" s="22"/>
      <c r="V48" s="22">
        <f>SUM(V13:V33)</f>
        <v>86322.83625</v>
      </c>
      <c r="W48" s="22">
        <f>SUM(W13:W33)</f>
        <v>90367.67772</v>
      </c>
      <c r="X48" s="22">
        <f>SUM(X13:X33)</f>
        <v>176690.51397</v>
      </c>
    </row>
    <row r="49" spans="1:37" ht="20.25">
      <c r="A49" s="13">
        <v>5</v>
      </c>
      <c r="B49" s="25" t="s">
        <v>26</v>
      </c>
      <c r="C49" s="127">
        <v>1.58</v>
      </c>
      <c r="D49" s="127">
        <v>1.85</v>
      </c>
      <c r="E49" s="128">
        <f>AD49*6*AE49</f>
        <v>30089.67435</v>
      </c>
      <c r="F49" s="129">
        <f>E49</f>
        <v>30089.67435</v>
      </c>
      <c r="G49" s="129">
        <f>AF49*12*AD49</f>
        <v>37291.46526</v>
      </c>
      <c r="H49" s="69" t="e">
        <f>#REF!</f>
        <v>#REF!</v>
      </c>
      <c r="I49" s="22">
        <f>C49+D49</f>
        <v>3.43</v>
      </c>
      <c r="J49" s="34">
        <v>3.43</v>
      </c>
      <c r="K49">
        <v>10</v>
      </c>
      <c r="L49">
        <v>2</v>
      </c>
      <c r="N49" s="20">
        <f>C49*J49*K49</f>
        <v>54.194</v>
      </c>
      <c r="O49" s="20" t="e">
        <f>#REF!*J49*L49</f>
        <v>#REF!</v>
      </c>
      <c r="P49" s="20" t="e">
        <f>SUM(N49:O49)</f>
        <v>#REF!</v>
      </c>
      <c r="Q49" s="21"/>
      <c r="R49" s="22">
        <v>1.47</v>
      </c>
      <c r="S49">
        <v>1.58</v>
      </c>
      <c r="T49">
        <v>6</v>
      </c>
      <c r="U49">
        <v>6</v>
      </c>
      <c r="V49">
        <f>R49*J49*T49</f>
        <v>30.2526</v>
      </c>
      <c r="W49">
        <f>S49*U49*J49</f>
        <v>32.516400000000004</v>
      </c>
      <c r="X49">
        <f>SUM(V49:W49)</f>
        <v>62.769000000000005</v>
      </c>
      <c r="AD49">
        <f>C7</f>
        <v>1644.2445</v>
      </c>
      <c r="AE49">
        <v>3.05</v>
      </c>
      <c r="AF49">
        <v>1.89</v>
      </c>
      <c r="AG49" s="69">
        <f>C8</f>
        <v>0</v>
      </c>
      <c r="AH49">
        <f>C49+D49</f>
        <v>3.43</v>
      </c>
      <c r="AI49" t="str">
        <f>C11</f>
        <v>с 1.01-31.06</v>
      </c>
      <c r="AJ49">
        <v>3.05</v>
      </c>
      <c r="AK49">
        <v>3.43</v>
      </c>
    </row>
    <row r="50" spans="1:17" ht="18.75">
      <c r="A50" s="10"/>
      <c r="B50" s="26"/>
      <c r="C50" s="10"/>
      <c r="D50" s="10"/>
      <c r="E50" s="10"/>
      <c r="F50" s="10"/>
      <c r="G50" s="10"/>
      <c r="H50" s="10"/>
      <c r="Q50" s="24"/>
    </row>
    <row r="51" spans="1:17" ht="18.75">
      <c r="A51" s="179" t="s">
        <v>941</v>
      </c>
      <c r="B51" s="179"/>
      <c r="C51" s="183">
        <v>72437.76</v>
      </c>
      <c r="D51" s="183"/>
      <c r="E51" s="6" t="s">
        <v>18</v>
      </c>
      <c r="F51" s="10"/>
      <c r="G51" s="10"/>
      <c r="H51" s="10"/>
      <c r="Q51" s="24"/>
    </row>
    <row r="52" spans="1:17" ht="18.75">
      <c r="A52" s="179" t="s">
        <v>942</v>
      </c>
      <c r="B52" s="179"/>
      <c r="C52" s="183">
        <v>49395.28</v>
      </c>
      <c r="D52" s="183"/>
      <c r="E52" s="6" t="s">
        <v>18</v>
      </c>
      <c r="F52" s="10"/>
      <c r="G52" s="10"/>
      <c r="H52" s="10"/>
      <c r="Q52" s="24"/>
    </row>
    <row r="53" spans="1:8" ht="18.75">
      <c r="A53" s="180" t="s">
        <v>17</v>
      </c>
      <c r="B53" s="180"/>
      <c r="C53" s="180"/>
      <c r="D53" s="180"/>
      <c r="E53" s="180"/>
      <c r="F53" s="180"/>
      <c r="G53" s="180"/>
      <c r="H53" s="10"/>
    </row>
    <row r="54" spans="1:8" ht="18.75" customHeight="1" hidden="1">
      <c r="A54" s="181" t="s">
        <v>35</v>
      </c>
      <c r="B54" s="181"/>
      <c r="C54" s="5" t="e">
        <f>C51-#REF!</f>
        <v>#REF!</v>
      </c>
      <c r="D54" s="10" t="s">
        <v>18</v>
      </c>
      <c r="E54" s="10"/>
      <c r="F54" s="10"/>
      <c r="G54" s="10"/>
      <c r="H54" s="10"/>
    </row>
    <row r="55" spans="1:8" ht="18.75" customHeight="1" hidden="1">
      <c r="A55" s="181" t="s">
        <v>36</v>
      </c>
      <c r="B55" s="181"/>
      <c r="C55" s="85">
        <f>E48-F48</f>
        <v>20609.81654999999</v>
      </c>
      <c r="D55" s="84" t="str">
        <f>D54</f>
        <v>рублей</v>
      </c>
      <c r="H55" s="28"/>
    </row>
  </sheetData>
  <sheetProtection/>
  <mergeCells count="18">
    <mergeCell ref="C52:D52"/>
    <mergeCell ref="A1:G2"/>
    <mergeCell ref="A3:G3"/>
    <mergeCell ref="A4:H5"/>
    <mergeCell ref="F9:F11"/>
    <mergeCell ref="G9:G11"/>
    <mergeCell ref="A51:B51"/>
    <mergeCell ref="A52:B52"/>
    <mergeCell ref="A53:G53"/>
    <mergeCell ref="A54:B54"/>
    <mergeCell ref="A55:B55"/>
    <mergeCell ref="J9:Q12"/>
    <mergeCell ref="R9:X12"/>
    <mergeCell ref="A9:A11"/>
    <mergeCell ref="B9:B11"/>
    <mergeCell ref="C9:D10"/>
    <mergeCell ref="E9:E11"/>
    <mergeCell ref="C51:D5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AW69"/>
  <sheetViews>
    <sheetView view="pageBreakPreview" zoomScale="75" zoomScaleSheetLayoutView="75" zoomScalePageLayoutView="0" workbookViewId="0" topLeftCell="A43">
      <selection activeCell="A1" sqref="A1:G2"/>
    </sheetView>
  </sheetViews>
  <sheetFormatPr defaultColWidth="9.00390625" defaultRowHeight="12.75"/>
  <cols>
    <col min="1" max="1" width="9.25390625" style="0" bestFit="1" customWidth="1"/>
    <col min="2" max="2" width="91.375" style="0" customWidth="1"/>
    <col min="3" max="3" width="13.125" style="0" customWidth="1"/>
    <col min="4" max="4" width="13.375" style="0" customWidth="1"/>
    <col min="5" max="5" width="15.875" style="0" customWidth="1"/>
    <col min="6" max="6" width="15.625" style="0" bestFit="1" customWidth="1"/>
    <col min="7" max="7" width="12.875" style="0" bestFit="1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39" width="0" style="0" hidden="1" customWidth="1"/>
    <col min="40" max="40" width="9.875" style="0" hidden="1" customWidth="1"/>
    <col min="41" max="49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37.5" customHeight="1">
      <c r="A3" s="182" t="s">
        <v>61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2450.85812777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44" t="s">
        <v>99</v>
      </c>
      <c r="F9" s="247" t="s">
        <v>74</v>
      </c>
      <c r="G9" s="244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57.75" customHeight="1">
      <c r="A10" s="212"/>
      <c r="B10" s="212"/>
      <c r="C10" s="216"/>
      <c r="D10" s="217"/>
      <c r="E10" s="245"/>
      <c r="F10" s="248"/>
      <c r="G10" s="245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86.25" customHeight="1">
      <c r="A11" s="213"/>
      <c r="B11" s="213"/>
      <c r="C11" s="124" t="s">
        <v>107</v>
      </c>
      <c r="D11" s="124" t="s">
        <v>106</v>
      </c>
      <c r="E11" s="246"/>
      <c r="F11" s="249"/>
      <c r="G11" s="246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37.5">
      <c r="A12" s="13" t="s">
        <v>12</v>
      </c>
      <c r="B12" s="14" t="s">
        <v>20</v>
      </c>
      <c r="C12" s="175"/>
      <c r="D12" s="175"/>
      <c r="E12" s="175"/>
      <c r="F12" s="13"/>
      <c r="G12" s="1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46" ht="20.25">
      <c r="A13" s="15" t="s">
        <v>13</v>
      </c>
      <c r="B13" s="14" t="s">
        <v>10</v>
      </c>
      <c r="C13" s="177">
        <v>1.395</v>
      </c>
      <c r="D13" s="177">
        <v>1.433</v>
      </c>
      <c r="E13" s="176">
        <f aca="true" t="shared" si="0" ref="E13:E18">AN13*6*AO13</f>
        <v>41586.160712001365</v>
      </c>
      <c r="F13" s="101">
        <f>E13</f>
        <v>41586.160712001365</v>
      </c>
      <c r="G13" s="16">
        <f aca="true" t="shared" si="1" ref="G13:G18">12*AT13*AN13</f>
        <v>42915.5061605038</v>
      </c>
      <c r="H13" s="17">
        <f aca="true" t="shared" si="2" ref="H13:H18">1.04993597951*AQ13</f>
        <v>1.1024327784855001</v>
      </c>
      <c r="I13" s="18">
        <f aca="true" t="shared" si="3" ref="I13:I18">1.12035851472*AQ13</f>
        <v>1.176376440456</v>
      </c>
      <c r="J13" s="19">
        <f>C7</f>
        <v>2450.85812777</v>
      </c>
      <c r="K13">
        <v>6</v>
      </c>
      <c r="L13">
        <v>2</v>
      </c>
      <c r="M13">
        <v>4</v>
      </c>
      <c r="N13" s="20">
        <f aca="true" t="shared" si="4" ref="N13:N18">AQ13*J13*K13</f>
        <v>15440.406204951</v>
      </c>
      <c r="O13" s="20" t="e">
        <f>J13*#REF!*L13</f>
        <v>#REF!</v>
      </c>
      <c r="P13" s="20">
        <f aca="true" t="shared" si="5" ref="P13:P18">AR13*J13*M13</f>
        <v>10685.7414370772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15440.406204951</v>
      </c>
      <c r="W13">
        <f aca="true" t="shared" si="8" ref="W13:W18">U13*S13*J13</f>
        <v>16028.612155615803</v>
      </c>
      <c r="X13">
        <f aca="true" t="shared" si="9" ref="X13:X18">SUM(V13:W13)</f>
        <v>31469.018360566803</v>
      </c>
      <c r="Y13">
        <v>1.28</v>
      </c>
      <c r="AN13" s="69">
        <f>C7</f>
        <v>2450.85812777</v>
      </c>
      <c r="AO13" s="22">
        <f aca="true" t="shared" si="10" ref="AO13:AO18">C13+D13</f>
        <v>2.8280000000000003</v>
      </c>
      <c r="AP13" s="34">
        <v>1.14</v>
      </c>
      <c r="AQ13" s="34">
        <v>1.05</v>
      </c>
      <c r="AR13" s="34">
        <v>1.09</v>
      </c>
      <c r="AS13" s="134">
        <v>1.28</v>
      </c>
      <c r="AT13">
        <f aca="true" t="shared" si="11" ref="AT13:AT18">AS13*AP13</f>
        <v>1.4591999999999998</v>
      </c>
    </row>
    <row r="14" spans="1:46" ht="20.25">
      <c r="A14" s="15" t="s">
        <v>14</v>
      </c>
      <c r="B14" s="14" t="s">
        <v>15</v>
      </c>
      <c r="C14" s="177">
        <v>1.779</v>
      </c>
      <c r="D14" s="177">
        <v>1.836</v>
      </c>
      <c r="E14" s="176">
        <f t="shared" si="0"/>
        <v>53159.1127913313</v>
      </c>
      <c r="F14" s="101">
        <f>E14</f>
        <v>53159.1127913313</v>
      </c>
      <c r="G14" s="16">
        <f t="shared" si="1"/>
        <v>54961.964030118914</v>
      </c>
      <c r="H14" s="17">
        <f t="shared" si="2"/>
        <v>1.3964148527483002</v>
      </c>
      <c r="I14" s="18">
        <f t="shared" si="3"/>
        <v>1.4900768245776</v>
      </c>
      <c r="J14" s="19">
        <f>J13</f>
        <v>2450.85812777</v>
      </c>
      <c r="K14">
        <v>6</v>
      </c>
      <c r="L14">
        <v>2</v>
      </c>
      <c r="M14">
        <v>4</v>
      </c>
      <c r="N14" s="20">
        <f t="shared" si="4"/>
        <v>19557.8478596046</v>
      </c>
      <c r="O14" s="20" t="e">
        <f>J14*#REF!*L14</f>
        <v>#REF!</v>
      </c>
      <c r="P14" s="20">
        <f t="shared" si="5"/>
        <v>13626.7711904012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19557.8478596046</v>
      </c>
      <c r="W14">
        <f t="shared" si="8"/>
        <v>20440.1567856018</v>
      </c>
      <c r="X14">
        <f t="shared" si="9"/>
        <v>39998.0046452064</v>
      </c>
      <c r="Y14">
        <v>1.28</v>
      </c>
      <c r="AN14">
        <f>AN13</f>
        <v>2450.85812777</v>
      </c>
      <c r="AO14" s="22">
        <f t="shared" si="10"/>
        <v>3.615</v>
      </c>
      <c r="AP14" s="34">
        <v>1.46</v>
      </c>
      <c r="AQ14" s="34">
        <v>1.33</v>
      </c>
      <c r="AR14" s="34">
        <v>1.39</v>
      </c>
      <c r="AS14" s="134">
        <v>1.28</v>
      </c>
      <c r="AT14">
        <f t="shared" si="11"/>
        <v>1.8688</v>
      </c>
    </row>
    <row r="15" spans="1:49" ht="20.25">
      <c r="A15" s="15" t="s">
        <v>16</v>
      </c>
      <c r="B15" s="252" t="s">
        <v>944</v>
      </c>
      <c r="C15" s="253">
        <v>0.192</v>
      </c>
      <c r="D15" s="253">
        <v>0.192</v>
      </c>
      <c r="E15" s="253">
        <f t="shared" si="0"/>
        <v>5646.7771263820805</v>
      </c>
      <c r="F15" s="254">
        <f>E15</f>
        <v>5646.7771263820805</v>
      </c>
      <c r="G15" s="255">
        <f t="shared" si="1"/>
        <v>0</v>
      </c>
      <c r="H15" s="256">
        <f t="shared" si="2"/>
        <v>0.13649167733630002</v>
      </c>
      <c r="I15" s="257">
        <f t="shared" si="3"/>
        <v>0.14564660691359999</v>
      </c>
      <c r="J15" s="258">
        <f>J14</f>
        <v>2450.85812777</v>
      </c>
      <c r="K15" s="258">
        <v>6</v>
      </c>
      <c r="L15" s="258">
        <v>2</v>
      </c>
      <c r="M15" s="258">
        <v>4</v>
      </c>
      <c r="N15" s="259">
        <f t="shared" si="4"/>
        <v>1911.6693396606001</v>
      </c>
      <c r="O15" s="259" t="e">
        <f>J15*#REF!*L15</f>
        <v>#REF!</v>
      </c>
      <c r="P15" s="259">
        <f t="shared" si="5"/>
        <v>1470.514876662</v>
      </c>
      <c r="Q15" s="260" t="e">
        <f t="shared" si="6"/>
        <v>#REF!</v>
      </c>
      <c r="R15" s="261">
        <v>0.13</v>
      </c>
      <c r="S15" s="261">
        <v>0</v>
      </c>
      <c r="T15" s="258">
        <v>6</v>
      </c>
      <c r="U15" s="258">
        <v>6</v>
      </c>
      <c r="V15" s="258">
        <f t="shared" si="7"/>
        <v>1911.6693396606001</v>
      </c>
      <c r="W15" s="258">
        <f t="shared" si="8"/>
        <v>0</v>
      </c>
      <c r="X15" s="258">
        <f t="shared" si="9"/>
        <v>1911.6693396606001</v>
      </c>
      <c r="Y15" s="258">
        <v>1.28</v>
      </c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>
        <f>AN14</f>
        <v>2450.85812777</v>
      </c>
      <c r="AO15" s="261">
        <f t="shared" si="10"/>
        <v>0.384</v>
      </c>
      <c r="AP15" s="262">
        <v>0</v>
      </c>
      <c r="AQ15" s="262">
        <v>0.13</v>
      </c>
      <c r="AR15" s="262">
        <v>0.15</v>
      </c>
      <c r="AS15" s="263">
        <v>1.28</v>
      </c>
      <c r="AT15" s="258">
        <f t="shared" si="11"/>
        <v>0</v>
      </c>
      <c r="AU15" s="258"/>
      <c r="AV15" s="258"/>
      <c r="AW15" s="258"/>
    </row>
    <row r="16" spans="1:46" ht="20.25">
      <c r="A16" s="15" t="s">
        <v>21</v>
      </c>
      <c r="B16" s="14" t="s">
        <v>11</v>
      </c>
      <c r="C16" s="177">
        <v>1.05</v>
      </c>
      <c r="D16" s="177">
        <v>0.727</v>
      </c>
      <c r="E16" s="176">
        <f t="shared" si="0"/>
        <v>26131.049358283744</v>
      </c>
      <c r="F16" s="101">
        <f>E16</f>
        <v>26131.049358283744</v>
      </c>
      <c r="G16" s="16">
        <f t="shared" si="1"/>
        <v>21834.204888677374</v>
      </c>
      <c r="H16" s="17">
        <f t="shared" si="2"/>
        <v>0.8294494238129001</v>
      </c>
      <c r="I16" s="18">
        <f t="shared" si="3"/>
        <v>0.8850832266288</v>
      </c>
      <c r="J16" s="19">
        <f>J15</f>
        <v>2450.85812777</v>
      </c>
      <c r="K16">
        <v>6</v>
      </c>
      <c r="L16">
        <v>2</v>
      </c>
      <c r="M16">
        <v>4</v>
      </c>
      <c r="N16" s="20">
        <f t="shared" si="4"/>
        <v>11617.0675256298</v>
      </c>
      <c r="O16" s="20" t="e">
        <f>J16*#REF!*L16</f>
        <v>#REF!</v>
      </c>
      <c r="P16" s="20">
        <f t="shared" si="5"/>
        <v>8038.8146590855995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11617.0675256298</v>
      </c>
      <c r="W16">
        <f t="shared" si="8"/>
        <v>12058.2219886284</v>
      </c>
      <c r="X16">
        <f t="shared" si="9"/>
        <v>23675.2895142582</v>
      </c>
      <c r="Y16">
        <v>1.28</v>
      </c>
      <c r="AN16">
        <f>AN15</f>
        <v>2450.85812777</v>
      </c>
      <c r="AO16" s="22">
        <f t="shared" si="10"/>
        <v>1.7770000000000001</v>
      </c>
      <c r="AP16" s="34">
        <v>0.58</v>
      </c>
      <c r="AQ16" s="34">
        <v>0.79</v>
      </c>
      <c r="AR16" s="34">
        <v>0.82</v>
      </c>
      <c r="AS16" s="134">
        <v>1.28</v>
      </c>
      <c r="AT16">
        <f t="shared" si="11"/>
        <v>0.7424</v>
      </c>
    </row>
    <row r="17" spans="1:46" ht="20.25">
      <c r="A17" s="15" t="s">
        <v>22</v>
      </c>
      <c r="B17" s="14" t="s">
        <v>19</v>
      </c>
      <c r="C17" s="177">
        <v>1.587</v>
      </c>
      <c r="D17" s="177">
        <v>1.587</v>
      </c>
      <c r="E17" s="176">
        <f t="shared" si="0"/>
        <v>46674.14218525188</v>
      </c>
      <c r="F17" s="101">
        <f>E17</f>
        <v>46674.14218525188</v>
      </c>
      <c r="G17" s="16">
        <f t="shared" si="1"/>
        <v>46680.024244758526</v>
      </c>
      <c r="H17" s="17">
        <f t="shared" si="2"/>
        <v>1.3019206145924</v>
      </c>
      <c r="I17" s="18">
        <f t="shared" si="3"/>
        <v>1.3892445582528</v>
      </c>
      <c r="J17" s="19">
        <f>J16</f>
        <v>2450.85812777</v>
      </c>
      <c r="K17">
        <v>6</v>
      </c>
      <c r="L17">
        <v>2</v>
      </c>
      <c r="M17">
        <v>4</v>
      </c>
      <c r="N17" s="20">
        <f t="shared" si="4"/>
        <v>18234.384470608802</v>
      </c>
      <c r="O17" s="20" t="e">
        <f>J17*#REF!*L17</f>
        <v>#REF!</v>
      </c>
      <c r="P17" s="20">
        <f t="shared" si="5"/>
        <v>12156.2563137392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18234.384470608802</v>
      </c>
      <c r="W17">
        <f t="shared" si="8"/>
        <v>18234.3844706088</v>
      </c>
      <c r="X17">
        <f t="shared" si="9"/>
        <v>36468.7689412176</v>
      </c>
      <c r="Y17">
        <v>1.28</v>
      </c>
      <c r="AN17">
        <f>AN16</f>
        <v>2450.85812777</v>
      </c>
      <c r="AO17" s="22">
        <f t="shared" si="10"/>
        <v>3.174</v>
      </c>
      <c r="AP17" s="34">
        <v>1.24</v>
      </c>
      <c r="AQ17" s="34">
        <v>1.24</v>
      </c>
      <c r="AR17" s="34">
        <v>1.24</v>
      </c>
      <c r="AS17" s="134">
        <v>1.28</v>
      </c>
      <c r="AT17">
        <f t="shared" si="11"/>
        <v>1.5872</v>
      </c>
    </row>
    <row r="18" spans="1:46" ht="37.5">
      <c r="A18" s="15" t="s">
        <v>23</v>
      </c>
      <c r="B18" s="14" t="s">
        <v>24</v>
      </c>
      <c r="C18" s="177">
        <v>5.722</v>
      </c>
      <c r="D18" s="177">
        <v>6.513</v>
      </c>
      <c r="E18" s="176">
        <f t="shared" si="0"/>
        <v>179917.4951595957</v>
      </c>
      <c r="F18" s="101">
        <f>F20+F21+F23+F24+F25+F27+F28+F29+F31+F32+F33+F35+F36+F38+F39+F41+F42+F44+F45+F47+F48+F49+F51+F52+F54+F55+F56+F58+F59+F60</f>
        <v>239545.34999999998</v>
      </c>
      <c r="G18" s="16">
        <f t="shared" si="1"/>
        <v>195002.03676439446</v>
      </c>
      <c r="H18" s="17">
        <f t="shared" si="2"/>
        <v>4.4202304737371</v>
      </c>
      <c r="I18" s="18">
        <f t="shared" si="3"/>
        <v>4.7167093469712</v>
      </c>
      <c r="J18" s="19">
        <f>J17</f>
        <v>2450.85812777</v>
      </c>
      <c r="K18">
        <v>6</v>
      </c>
      <c r="L18">
        <v>2</v>
      </c>
      <c r="M18">
        <v>4</v>
      </c>
      <c r="N18" s="20">
        <f t="shared" si="4"/>
        <v>61908.676307470196</v>
      </c>
      <c r="O18" s="20" t="e">
        <f>J18*#REF!*L18</f>
        <v>#REF!</v>
      </c>
      <c r="P18" s="20">
        <f t="shared" si="5"/>
        <v>43821.3433245276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61908.676307470196</v>
      </c>
      <c r="W18">
        <f t="shared" si="8"/>
        <v>67937.7873017844</v>
      </c>
      <c r="X18">
        <f t="shared" si="9"/>
        <v>129846.4636092546</v>
      </c>
      <c r="Y18">
        <v>1.28</v>
      </c>
      <c r="AN18">
        <f>AN17</f>
        <v>2450.85812777</v>
      </c>
      <c r="AO18" s="22">
        <f t="shared" si="10"/>
        <v>12.235</v>
      </c>
      <c r="AP18" s="34">
        <v>5.18</v>
      </c>
      <c r="AQ18" s="34">
        <f>1.38+2.83</f>
        <v>4.21</v>
      </c>
      <c r="AR18" s="34">
        <f>1.52+2.95</f>
        <v>4.470000000000001</v>
      </c>
      <c r="AS18" s="134">
        <v>1.28</v>
      </c>
      <c r="AT18">
        <f t="shared" si="11"/>
        <v>6.6304</v>
      </c>
    </row>
    <row r="19" spans="1:25" ht="19.5" customHeight="1">
      <c r="A19" s="15"/>
      <c r="B19" s="34" t="s">
        <v>75</v>
      </c>
      <c r="C19" s="79"/>
      <c r="D19" s="79"/>
      <c r="E19" s="16"/>
      <c r="F19" s="101"/>
      <c r="G19" s="16"/>
      <c r="H19" s="17"/>
      <c r="I19" s="18"/>
      <c r="J19" s="19"/>
      <c r="N19" s="20"/>
      <c r="O19" s="20"/>
      <c r="P19" s="20"/>
      <c r="Q19" s="21"/>
      <c r="R19" s="22"/>
      <c r="S19" s="22"/>
      <c r="Y19">
        <v>1.28</v>
      </c>
    </row>
    <row r="20" spans="1:40" ht="18.75">
      <c r="A20" s="15"/>
      <c r="B20" s="14" t="s">
        <v>635</v>
      </c>
      <c r="C20" s="79"/>
      <c r="D20" s="79"/>
      <c r="E20" s="16"/>
      <c r="F20" s="102">
        <v>1052.85</v>
      </c>
      <c r="G20" s="16"/>
      <c r="H20" s="17"/>
      <c r="I20" s="18"/>
      <c r="J20" s="19"/>
      <c r="N20" s="20"/>
      <c r="O20" s="20"/>
      <c r="P20" s="20"/>
      <c r="Q20" s="21"/>
      <c r="R20" s="22"/>
      <c r="S20" s="22"/>
      <c r="Y20">
        <v>1.28</v>
      </c>
      <c r="AN20" s="22" t="e">
        <f>F20+#REF!+#REF!+#REF!+#REF!+#REF!+F21</f>
        <v>#REF!</v>
      </c>
    </row>
    <row r="21" spans="1:25" ht="37.5">
      <c r="A21" s="15"/>
      <c r="B21" s="14" t="s">
        <v>636</v>
      </c>
      <c r="C21" s="79"/>
      <c r="D21" s="79"/>
      <c r="E21" s="16"/>
      <c r="F21" s="108">
        <v>13325.99</v>
      </c>
      <c r="G21" s="16"/>
      <c r="H21" s="17"/>
      <c r="I21" s="18"/>
      <c r="J21" s="19"/>
      <c r="N21" s="20"/>
      <c r="O21" s="20"/>
      <c r="P21" s="20"/>
      <c r="Q21" s="21"/>
      <c r="R21" s="22"/>
      <c r="S21" s="22"/>
      <c r="Y21">
        <v>1.28</v>
      </c>
    </row>
    <row r="22" spans="1:25" ht="18.75">
      <c r="A22" s="15"/>
      <c r="B22" s="33" t="s">
        <v>88</v>
      </c>
      <c r="C22" s="79"/>
      <c r="D22" s="79"/>
      <c r="E22" s="16"/>
      <c r="F22" s="108"/>
      <c r="G22" s="16"/>
      <c r="H22" s="17"/>
      <c r="I22" s="18"/>
      <c r="J22" s="19"/>
      <c r="N22" s="20"/>
      <c r="O22" s="20"/>
      <c r="P22" s="20"/>
      <c r="Q22" s="21"/>
      <c r="R22" s="22"/>
      <c r="S22" s="22"/>
      <c r="Y22">
        <v>1.28</v>
      </c>
    </row>
    <row r="23" spans="1:40" ht="37.5">
      <c r="A23" s="15"/>
      <c r="B23" s="14" t="s">
        <v>637</v>
      </c>
      <c r="C23" s="79"/>
      <c r="D23" s="79"/>
      <c r="E23" s="16"/>
      <c r="F23" s="108">
        <v>29801.29</v>
      </c>
      <c r="G23" s="16"/>
      <c r="H23" s="17"/>
      <c r="I23" s="18"/>
      <c r="J23" s="19"/>
      <c r="N23" s="20"/>
      <c r="O23" s="20"/>
      <c r="P23" s="20"/>
      <c r="Q23" s="21"/>
      <c r="R23" s="22"/>
      <c r="S23" s="22"/>
      <c r="Y23">
        <v>1.28</v>
      </c>
      <c r="AN23">
        <f>F23</f>
        <v>29801.29</v>
      </c>
    </row>
    <row r="24" spans="1:19" ht="18.75">
      <c r="A24" s="15"/>
      <c r="B24" s="14" t="s">
        <v>638</v>
      </c>
      <c r="C24" s="79"/>
      <c r="D24" s="79"/>
      <c r="E24" s="16"/>
      <c r="F24" s="108">
        <v>1188.75</v>
      </c>
      <c r="G24" s="16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15"/>
      <c r="B25" s="14" t="s">
        <v>639</v>
      </c>
      <c r="C25" s="79"/>
      <c r="D25" s="79"/>
      <c r="E25" s="16"/>
      <c r="F25" s="108">
        <v>1661.3</v>
      </c>
      <c r="G25" s="16"/>
      <c r="H25" s="17"/>
      <c r="I25" s="18"/>
      <c r="J25" s="19"/>
      <c r="N25" s="20"/>
      <c r="O25" s="20"/>
      <c r="P25" s="20"/>
      <c r="Q25" s="21"/>
      <c r="R25" s="22"/>
      <c r="S25" s="22"/>
    </row>
    <row r="26" spans="1:25" ht="18.75">
      <c r="A26" s="15"/>
      <c r="B26" s="33" t="s">
        <v>89</v>
      </c>
      <c r="C26" s="79"/>
      <c r="D26" s="79"/>
      <c r="E26" s="16"/>
      <c r="F26" s="108"/>
      <c r="G26" s="16"/>
      <c r="H26" s="17"/>
      <c r="I26" s="18"/>
      <c r="J26" s="19"/>
      <c r="N26" s="20"/>
      <c r="O26" s="20"/>
      <c r="P26" s="20"/>
      <c r="Q26" s="21"/>
      <c r="R26" s="22"/>
      <c r="S26" s="22"/>
      <c r="Y26">
        <v>1.28</v>
      </c>
    </row>
    <row r="27" spans="1:40" ht="18.75">
      <c r="A27" s="15"/>
      <c r="B27" s="14" t="s">
        <v>640</v>
      </c>
      <c r="C27" s="79"/>
      <c r="D27" s="79"/>
      <c r="E27" s="16"/>
      <c r="F27" s="108">
        <v>1585.41</v>
      </c>
      <c r="G27" s="16"/>
      <c r="H27" s="17"/>
      <c r="I27" s="18"/>
      <c r="J27" s="19"/>
      <c r="N27" s="20"/>
      <c r="O27" s="20"/>
      <c r="P27" s="20"/>
      <c r="Q27" s="21"/>
      <c r="R27" s="22"/>
      <c r="S27" s="22"/>
      <c r="Y27">
        <v>1.28</v>
      </c>
      <c r="AN27">
        <f>F27+F28+F29</f>
        <v>20831.739999999998</v>
      </c>
    </row>
    <row r="28" spans="1:25" ht="18.75">
      <c r="A28" s="13"/>
      <c r="B28" s="14" t="s">
        <v>641</v>
      </c>
      <c r="C28" s="81"/>
      <c r="D28" s="81"/>
      <c r="E28" s="23"/>
      <c r="F28" s="130">
        <v>9422.57</v>
      </c>
      <c r="G28" s="23"/>
      <c r="H28" s="17"/>
      <c r="I28" s="18"/>
      <c r="J28" s="19"/>
      <c r="K28">
        <v>6</v>
      </c>
      <c r="L28">
        <v>2</v>
      </c>
      <c r="M28">
        <v>4</v>
      </c>
      <c r="N28" s="20">
        <f>C28*J28*K28</f>
        <v>0</v>
      </c>
      <c r="O28" s="20" t="e">
        <f>J28*#REF!*L28</f>
        <v>#REF!</v>
      </c>
      <c r="P28" s="20">
        <f>D28*J28*M28</f>
        <v>0</v>
      </c>
      <c r="Q28" s="24"/>
      <c r="R28" s="22"/>
      <c r="V28">
        <f>J28*R28*U28</f>
        <v>0</v>
      </c>
      <c r="W28">
        <f>U28*S28*J28</f>
        <v>0</v>
      </c>
      <c r="X28">
        <f>SUM(V28:W28)</f>
        <v>0</v>
      </c>
      <c r="Y28">
        <v>1.28</v>
      </c>
    </row>
    <row r="29" spans="1:25" ht="18.75">
      <c r="A29" s="15"/>
      <c r="B29" s="14" t="s">
        <v>642</v>
      </c>
      <c r="C29" s="81"/>
      <c r="D29" s="81"/>
      <c r="E29" s="23"/>
      <c r="F29" s="130">
        <v>9823.76</v>
      </c>
      <c r="G29" s="23"/>
      <c r="H29" s="17"/>
      <c r="I29" s="18"/>
      <c r="J29" s="19"/>
      <c r="K29">
        <v>6</v>
      </c>
      <c r="L29">
        <v>2</v>
      </c>
      <c r="M29">
        <v>4</v>
      </c>
      <c r="N29" s="20">
        <f>C29*J29*K29</f>
        <v>0</v>
      </c>
      <c r="O29" s="20" t="e">
        <f>J29*#REF!*L29</f>
        <v>#REF!</v>
      </c>
      <c r="P29" s="20">
        <f>D29*J29*M29</f>
        <v>0</v>
      </c>
      <c r="Q29" s="24"/>
      <c r="R29" s="22"/>
      <c r="V29">
        <f>J29*R29*U29</f>
        <v>0</v>
      </c>
      <c r="W29">
        <f>U29*S29*J29</f>
        <v>0</v>
      </c>
      <c r="X29">
        <f>SUM(V29:W29)</f>
        <v>0</v>
      </c>
      <c r="Y29">
        <v>1.28</v>
      </c>
    </row>
    <row r="30" spans="1:25" ht="18.75">
      <c r="A30" s="15"/>
      <c r="B30" s="33" t="s">
        <v>90</v>
      </c>
      <c r="C30" s="81"/>
      <c r="D30" s="81"/>
      <c r="E30" s="23"/>
      <c r="F30" s="130"/>
      <c r="G30" s="23"/>
      <c r="H30" s="17"/>
      <c r="I30" s="18"/>
      <c r="J30" s="19"/>
      <c r="K30">
        <v>6</v>
      </c>
      <c r="L30">
        <v>2</v>
      </c>
      <c r="M30">
        <v>4</v>
      </c>
      <c r="N30" s="20">
        <f>C30*J30*K30</f>
        <v>0</v>
      </c>
      <c r="O30" s="20" t="e">
        <f>J30*#REF!*L30</f>
        <v>#REF!</v>
      </c>
      <c r="P30" s="20">
        <f>D30*J30*M30</f>
        <v>0</v>
      </c>
      <c r="Q30" s="24"/>
      <c r="R30" s="22"/>
      <c r="V30">
        <f>J30*R30*U30</f>
        <v>0</v>
      </c>
      <c r="W30">
        <f>U30*S30*J30</f>
        <v>0</v>
      </c>
      <c r="X30">
        <f>SUM(V30:W30)</f>
        <v>0</v>
      </c>
      <c r="Y30">
        <v>1.28</v>
      </c>
    </row>
    <row r="31" spans="1:40" ht="18.75">
      <c r="A31" s="15"/>
      <c r="B31" s="14" t="s">
        <v>643</v>
      </c>
      <c r="C31" s="81"/>
      <c r="D31" s="81"/>
      <c r="E31" s="23"/>
      <c r="F31" s="130">
        <v>1800.19</v>
      </c>
      <c r="G31" s="23"/>
      <c r="H31" s="17"/>
      <c r="I31" s="18"/>
      <c r="J31" s="19"/>
      <c r="N31" s="20"/>
      <c r="O31" s="20"/>
      <c r="P31" s="20"/>
      <c r="Q31" s="24"/>
      <c r="R31" s="22"/>
      <c r="Y31">
        <v>1.28</v>
      </c>
      <c r="AN31">
        <f>F31</f>
        <v>1800.19</v>
      </c>
    </row>
    <row r="32" spans="1:18" ht="18.75">
      <c r="A32" s="15"/>
      <c r="B32" s="14" t="s">
        <v>644</v>
      </c>
      <c r="C32" s="81"/>
      <c r="D32" s="81"/>
      <c r="E32" s="23"/>
      <c r="F32" s="130">
        <v>2362.55</v>
      </c>
      <c r="G32" s="23"/>
      <c r="H32" s="17"/>
      <c r="I32" s="18"/>
      <c r="J32" s="19"/>
      <c r="N32" s="20"/>
      <c r="O32" s="20"/>
      <c r="P32" s="20"/>
      <c r="Q32" s="24"/>
      <c r="R32" s="22"/>
    </row>
    <row r="33" spans="1:18" ht="37.5">
      <c r="A33" s="15"/>
      <c r="B33" s="14" t="s">
        <v>645</v>
      </c>
      <c r="C33" s="81"/>
      <c r="D33" s="81"/>
      <c r="E33" s="23"/>
      <c r="F33" s="130">
        <v>9968.94</v>
      </c>
      <c r="G33" s="23"/>
      <c r="H33" s="17"/>
      <c r="I33" s="18"/>
      <c r="J33" s="19"/>
      <c r="N33" s="20"/>
      <c r="O33" s="20"/>
      <c r="P33" s="20"/>
      <c r="Q33" s="24"/>
      <c r="R33" s="22"/>
    </row>
    <row r="34" spans="1:18" ht="18.75">
      <c r="A34" s="15"/>
      <c r="B34" s="33" t="s">
        <v>91</v>
      </c>
      <c r="C34" s="81"/>
      <c r="D34" s="81"/>
      <c r="E34" s="23"/>
      <c r="F34" s="130"/>
      <c r="G34" s="23"/>
      <c r="H34" s="17"/>
      <c r="I34" s="18"/>
      <c r="J34" s="19"/>
      <c r="N34" s="20"/>
      <c r="O34" s="20"/>
      <c r="P34" s="20"/>
      <c r="Q34" s="24"/>
      <c r="R34" s="22"/>
    </row>
    <row r="35" spans="1:40" ht="18.75">
      <c r="A35" s="15"/>
      <c r="B35" s="14" t="s">
        <v>646</v>
      </c>
      <c r="C35" s="81"/>
      <c r="D35" s="81"/>
      <c r="E35" s="23"/>
      <c r="F35" s="130">
        <v>1224.32</v>
      </c>
      <c r="G35" s="23"/>
      <c r="H35" s="17"/>
      <c r="I35" s="18"/>
      <c r="J35" s="19"/>
      <c r="N35" s="20"/>
      <c r="O35" s="20"/>
      <c r="P35" s="20"/>
      <c r="Q35" s="24"/>
      <c r="R35" s="22"/>
      <c r="AN35">
        <f>F35+F36</f>
        <v>22732.14</v>
      </c>
    </row>
    <row r="36" spans="1:18" ht="37.5">
      <c r="A36" s="15"/>
      <c r="B36" s="14" t="s">
        <v>647</v>
      </c>
      <c r="C36" s="81"/>
      <c r="D36" s="81"/>
      <c r="E36" s="23"/>
      <c r="F36" s="130">
        <v>21507.82</v>
      </c>
      <c r="G36" s="23"/>
      <c r="H36" s="17"/>
      <c r="I36" s="18"/>
      <c r="J36" s="19"/>
      <c r="N36" s="20"/>
      <c r="O36" s="20"/>
      <c r="P36" s="20"/>
      <c r="Q36" s="24"/>
      <c r="R36" s="22"/>
    </row>
    <row r="37" spans="1:18" ht="18.75">
      <c r="A37" s="15"/>
      <c r="B37" s="33" t="s">
        <v>92</v>
      </c>
      <c r="C37" s="81"/>
      <c r="D37" s="81"/>
      <c r="E37" s="23"/>
      <c r="F37" s="130"/>
      <c r="G37" s="23"/>
      <c r="H37" s="17"/>
      <c r="I37" s="18"/>
      <c r="J37" s="19"/>
      <c r="N37" s="20"/>
      <c r="O37" s="20"/>
      <c r="P37" s="20"/>
      <c r="Q37" s="24"/>
      <c r="R37" s="22"/>
    </row>
    <row r="38" spans="1:40" ht="37.5">
      <c r="A38" s="15"/>
      <c r="B38" s="14" t="s">
        <v>648</v>
      </c>
      <c r="C38" s="81"/>
      <c r="D38" s="81"/>
      <c r="E38" s="23"/>
      <c r="F38" s="130">
        <v>5921.44</v>
      </c>
      <c r="G38" s="23"/>
      <c r="H38" s="17"/>
      <c r="I38" s="18"/>
      <c r="J38" s="19"/>
      <c r="N38" s="20"/>
      <c r="O38" s="20"/>
      <c r="P38" s="20"/>
      <c r="Q38" s="24"/>
      <c r="R38" s="22"/>
      <c r="AN38">
        <f>F38</f>
        <v>5921.44</v>
      </c>
    </row>
    <row r="39" spans="1:18" ht="18.75">
      <c r="A39" s="15"/>
      <c r="B39" s="14" t="s">
        <v>649</v>
      </c>
      <c r="C39" s="81"/>
      <c r="D39" s="81"/>
      <c r="E39" s="23"/>
      <c r="F39" s="130">
        <v>1399.18</v>
      </c>
      <c r="G39" s="23"/>
      <c r="H39" s="17"/>
      <c r="I39" s="18"/>
      <c r="J39" s="19"/>
      <c r="N39" s="20"/>
      <c r="O39" s="20"/>
      <c r="P39" s="20"/>
      <c r="Q39" s="24"/>
      <c r="R39" s="22"/>
    </row>
    <row r="40" spans="1:18" ht="18.75">
      <c r="A40" s="15"/>
      <c r="B40" s="33" t="s">
        <v>93</v>
      </c>
      <c r="C40" s="81"/>
      <c r="D40" s="81"/>
      <c r="E40" s="23"/>
      <c r="F40" s="130"/>
      <c r="G40" s="23"/>
      <c r="H40" s="17"/>
      <c r="I40" s="18"/>
      <c r="J40" s="19"/>
      <c r="N40" s="20"/>
      <c r="O40" s="20"/>
      <c r="P40" s="20"/>
      <c r="Q40" s="24"/>
      <c r="R40" s="22"/>
    </row>
    <row r="41" spans="1:40" ht="18.75">
      <c r="A41" s="15"/>
      <c r="B41" s="14" t="s">
        <v>650</v>
      </c>
      <c r="C41" s="81"/>
      <c r="D41" s="81"/>
      <c r="E41" s="23"/>
      <c r="F41" s="130">
        <v>21380.91</v>
      </c>
      <c r="G41" s="23"/>
      <c r="H41" s="17"/>
      <c r="I41" s="18"/>
      <c r="J41" s="19"/>
      <c r="N41" s="20"/>
      <c r="O41" s="20"/>
      <c r="P41" s="20"/>
      <c r="Q41" s="24"/>
      <c r="R41" s="22"/>
      <c r="AN41" t="e">
        <f>F41+#REF!+F42+#REF!</f>
        <v>#REF!</v>
      </c>
    </row>
    <row r="42" spans="1:18" ht="17.25" customHeight="1">
      <c r="A42" s="15"/>
      <c r="B42" s="14" t="s">
        <v>651</v>
      </c>
      <c r="C42" s="81"/>
      <c r="D42" s="81"/>
      <c r="E42" s="23"/>
      <c r="F42" s="130">
        <v>1300.72</v>
      </c>
      <c r="G42" s="23"/>
      <c r="H42" s="17"/>
      <c r="I42" s="18"/>
      <c r="J42" s="19"/>
      <c r="N42" s="20"/>
      <c r="O42" s="20"/>
      <c r="P42" s="20"/>
      <c r="Q42" s="24"/>
      <c r="R42" s="22"/>
    </row>
    <row r="43" spans="1:18" ht="18.75">
      <c r="A43" s="15"/>
      <c r="B43" s="33" t="s">
        <v>94</v>
      </c>
      <c r="C43" s="81"/>
      <c r="D43" s="81"/>
      <c r="E43" s="23"/>
      <c r="F43" s="130"/>
      <c r="G43" s="23"/>
      <c r="H43" s="17"/>
      <c r="I43" s="18"/>
      <c r="J43" s="19"/>
      <c r="N43" s="20"/>
      <c r="O43" s="20"/>
      <c r="P43" s="20"/>
      <c r="Q43" s="24"/>
      <c r="R43" s="22"/>
    </row>
    <row r="44" spans="1:18" ht="37.5">
      <c r="A44" s="15"/>
      <c r="B44" s="14" t="s">
        <v>652</v>
      </c>
      <c r="C44" s="81"/>
      <c r="D44" s="81"/>
      <c r="E44" s="23"/>
      <c r="F44" s="130">
        <v>14050.56</v>
      </c>
      <c r="G44" s="23"/>
      <c r="H44" s="17"/>
      <c r="I44" s="18"/>
      <c r="J44" s="19"/>
      <c r="N44" s="20"/>
      <c r="O44" s="20"/>
      <c r="P44" s="20"/>
      <c r="Q44" s="24"/>
      <c r="R44" s="22"/>
    </row>
    <row r="45" spans="1:18" ht="18.75">
      <c r="A45" s="15"/>
      <c r="B45" s="14" t="s">
        <v>653</v>
      </c>
      <c r="C45" s="81"/>
      <c r="D45" s="81"/>
      <c r="E45" s="23"/>
      <c r="F45" s="130">
        <v>1312.47</v>
      </c>
      <c r="G45" s="23"/>
      <c r="H45" s="17"/>
      <c r="I45" s="18"/>
      <c r="J45" s="19"/>
      <c r="N45" s="20"/>
      <c r="O45" s="20"/>
      <c r="P45" s="20"/>
      <c r="Q45" s="24"/>
      <c r="R45" s="22"/>
    </row>
    <row r="46" spans="1:18" ht="18.75">
      <c r="A46" s="15"/>
      <c r="B46" s="33" t="s">
        <v>98</v>
      </c>
      <c r="C46" s="81"/>
      <c r="D46" s="81"/>
      <c r="E46" s="23"/>
      <c r="F46" s="130"/>
      <c r="G46" s="23"/>
      <c r="H46" s="17"/>
      <c r="I46" s="18"/>
      <c r="J46" s="19"/>
      <c r="N46" s="20"/>
      <c r="O46" s="20"/>
      <c r="P46" s="20"/>
      <c r="Q46" s="24"/>
      <c r="R46" s="22"/>
    </row>
    <row r="47" spans="1:40" ht="17.25" customHeight="1">
      <c r="A47" s="15"/>
      <c r="B47" s="14" t="s">
        <v>654</v>
      </c>
      <c r="C47" s="81"/>
      <c r="D47" s="81"/>
      <c r="E47" s="23"/>
      <c r="F47" s="130">
        <v>15301.83</v>
      </c>
      <c r="G47" s="23"/>
      <c r="H47" s="17"/>
      <c r="I47" s="18"/>
      <c r="J47" s="19"/>
      <c r="N47" s="20"/>
      <c r="O47" s="20"/>
      <c r="P47" s="20"/>
      <c r="Q47" s="24"/>
      <c r="R47" s="22"/>
      <c r="AN47">
        <f>F47+F48</f>
        <v>20278</v>
      </c>
    </row>
    <row r="48" spans="1:18" ht="37.5">
      <c r="A48" s="15"/>
      <c r="B48" s="14" t="s">
        <v>655</v>
      </c>
      <c r="C48" s="81"/>
      <c r="D48" s="81"/>
      <c r="E48" s="23"/>
      <c r="F48" s="130">
        <v>4976.17</v>
      </c>
      <c r="G48" s="23"/>
      <c r="H48" s="17"/>
      <c r="I48" s="18"/>
      <c r="J48" s="19"/>
      <c r="N48" s="20"/>
      <c r="O48" s="20"/>
      <c r="P48" s="20"/>
      <c r="Q48" s="24"/>
      <c r="R48" s="22"/>
    </row>
    <row r="49" spans="1:18" ht="37.5">
      <c r="A49" s="15"/>
      <c r="B49" s="14" t="s">
        <v>656</v>
      </c>
      <c r="C49" s="81"/>
      <c r="D49" s="81"/>
      <c r="E49" s="23"/>
      <c r="F49" s="130">
        <v>11247.93</v>
      </c>
      <c r="G49" s="23"/>
      <c r="H49" s="17"/>
      <c r="I49" s="18"/>
      <c r="J49" s="19"/>
      <c r="N49" s="20"/>
      <c r="O49" s="20"/>
      <c r="P49" s="20"/>
      <c r="Q49" s="24"/>
      <c r="R49" s="22"/>
    </row>
    <row r="50" spans="1:18" ht="18.75">
      <c r="A50" s="15"/>
      <c r="B50" s="33" t="s">
        <v>95</v>
      </c>
      <c r="C50" s="81"/>
      <c r="D50" s="81"/>
      <c r="E50" s="23"/>
      <c r="F50" s="130"/>
      <c r="G50" s="23"/>
      <c r="H50" s="17"/>
      <c r="I50" s="18"/>
      <c r="J50" s="19"/>
      <c r="N50" s="20"/>
      <c r="O50" s="20"/>
      <c r="P50" s="20"/>
      <c r="Q50" s="24"/>
      <c r="R50" s="22"/>
    </row>
    <row r="51" spans="1:40" ht="34.5" customHeight="1">
      <c r="A51" s="15"/>
      <c r="B51" s="14" t="s">
        <v>657</v>
      </c>
      <c r="C51" s="81"/>
      <c r="D51" s="81"/>
      <c r="E51" s="23"/>
      <c r="F51" s="130">
        <v>11438.34</v>
      </c>
      <c r="G51" s="23"/>
      <c r="H51" s="17"/>
      <c r="I51" s="18"/>
      <c r="J51" s="19"/>
      <c r="N51" s="20"/>
      <c r="O51" s="20"/>
      <c r="P51" s="20"/>
      <c r="Q51" s="24"/>
      <c r="R51" s="22"/>
      <c r="AN51" t="e">
        <f>F51+F52+#REF!+#REF!</f>
        <v>#REF!</v>
      </c>
    </row>
    <row r="52" spans="1:18" ht="19.5" customHeight="1">
      <c r="A52" s="15"/>
      <c r="B52" s="14" t="s">
        <v>658</v>
      </c>
      <c r="C52" s="81"/>
      <c r="D52" s="81"/>
      <c r="E52" s="23"/>
      <c r="F52" s="130">
        <v>1758.36</v>
      </c>
      <c r="G52" s="23"/>
      <c r="H52" s="17"/>
      <c r="I52" s="18"/>
      <c r="J52" s="19"/>
      <c r="N52" s="20"/>
      <c r="O52" s="20"/>
      <c r="P52" s="20"/>
      <c r="Q52" s="24"/>
      <c r="R52" s="22"/>
    </row>
    <row r="53" spans="1:18" ht="18.75">
      <c r="A53" s="15"/>
      <c r="B53" s="33" t="s">
        <v>96</v>
      </c>
      <c r="C53" s="81"/>
      <c r="D53" s="81"/>
      <c r="E53" s="23"/>
      <c r="F53" s="130"/>
      <c r="G53" s="23"/>
      <c r="H53" s="17"/>
      <c r="I53" s="18"/>
      <c r="J53" s="19"/>
      <c r="N53" s="20"/>
      <c r="O53" s="20"/>
      <c r="P53" s="20"/>
      <c r="Q53" s="24"/>
      <c r="R53" s="22"/>
    </row>
    <row r="54" spans="1:40" ht="37.5">
      <c r="A54" s="15"/>
      <c r="B54" s="14" t="s">
        <v>659</v>
      </c>
      <c r="C54" s="81"/>
      <c r="D54" s="81"/>
      <c r="E54" s="23"/>
      <c r="F54" s="130">
        <v>9424.23</v>
      </c>
      <c r="G54" s="23"/>
      <c r="H54" s="17"/>
      <c r="I54" s="18"/>
      <c r="J54" s="19"/>
      <c r="N54" s="20"/>
      <c r="O54" s="20"/>
      <c r="P54" s="20"/>
      <c r="Q54" s="24"/>
      <c r="R54" s="22"/>
      <c r="AN54" t="e">
        <f>F54+F55+F56+#REF!+#REF!</f>
        <v>#REF!</v>
      </c>
    </row>
    <row r="55" spans="1:18" ht="18.75">
      <c r="A55" s="15"/>
      <c r="B55" s="14" t="s">
        <v>660</v>
      </c>
      <c r="C55" s="81"/>
      <c r="D55" s="81"/>
      <c r="E55" s="23"/>
      <c r="F55" s="130">
        <v>2968.08</v>
      </c>
      <c r="G55" s="23"/>
      <c r="H55" s="17"/>
      <c r="I55" s="18"/>
      <c r="J55" s="19"/>
      <c r="N55" s="20"/>
      <c r="O55" s="20"/>
      <c r="P55" s="20"/>
      <c r="Q55" s="24"/>
      <c r="R55" s="22"/>
    </row>
    <row r="56" spans="1:18" ht="18.75">
      <c r="A56" s="15"/>
      <c r="B56" s="14" t="s">
        <v>661</v>
      </c>
      <c r="C56" s="81"/>
      <c r="D56" s="81"/>
      <c r="E56" s="23"/>
      <c r="F56" s="130">
        <v>24000.27</v>
      </c>
      <c r="G56" s="23"/>
      <c r="H56" s="17"/>
      <c r="I56" s="18"/>
      <c r="J56" s="19"/>
      <c r="N56" s="20"/>
      <c r="O56" s="20"/>
      <c r="P56" s="20"/>
      <c r="Q56" s="24"/>
      <c r="R56" s="22"/>
    </row>
    <row r="57" spans="1:18" ht="18.75">
      <c r="A57" s="15"/>
      <c r="B57" s="33" t="s">
        <v>97</v>
      </c>
      <c r="C57" s="81"/>
      <c r="D57" s="81"/>
      <c r="E57" s="23"/>
      <c r="F57" s="130"/>
      <c r="G57" s="23"/>
      <c r="H57" s="17"/>
      <c r="I57" s="18"/>
      <c r="J57" s="19"/>
      <c r="N57" s="20"/>
      <c r="O57" s="20"/>
      <c r="P57" s="20"/>
      <c r="Q57" s="24"/>
      <c r="R57" s="22"/>
    </row>
    <row r="58" spans="1:40" ht="23.25" customHeight="1">
      <c r="A58" s="15"/>
      <c r="B58" s="83" t="s">
        <v>662</v>
      </c>
      <c r="C58" s="81"/>
      <c r="D58" s="81"/>
      <c r="E58" s="23"/>
      <c r="F58" s="130">
        <v>5453.81</v>
      </c>
      <c r="G58" s="23"/>
      <c r="H58" s="17"/>
      <c r="I58" s="18"/>
      <c r="J58" s="19"/>
      <c r="N58" s="20"/>
      <c r="O58" s="20"/>
      <c r="P58" s="20"/>
      <c r="Q58" s="24"/>
      <c r="R58" s="22"/>
      <c r="AN58">
        <f>F58+F59+F60</f>
        <v>8339.12</v>
      </c>
    </row>
    <row r="59" spans="1:18" ht="20.25" customHeight="1">
      <c r="A59" s="15"/>
      <c r="B59" s="14" t="s">
        <v>663</v>
      </c>
      <c r="C59" s="81"/>
      <c r="D59" s="81"/>
      <c r="E59" s="23"/>
      <c r="F59" s="130">
        <v>1153.33</v>
      </c>
      <c r="G59" s="23"/>
      <c r="H59" s="17"/>
      <c r="I59" s="18"/>
      <c r="J59" s="19"/>
      <c r="N59" s="20"/>
      <c r="O59" s="20"/>
      <c r="P59" s="20"/>
      <c r="Q59" s="24"/>
      <c r="R59" s="22"/>
    </row>
    <row r="60" spans="1:18" ht="18.75">
      <c r="A60" s="15"/>
      <c r="B60" s="83" t="s">
        <v>664</v>
      </c>
      <c r="C60" s="81"/>
      <c r="D60" s="81"/>
      <c r="E60" s="23"/>
      <c r="F60" s="130">
        <v>1731.98</v>
      </c>
      <c r="G60" s="23"/>
      <c r="H60" s="17"/>
      <c r="I60" s="18"/>
      <c r="J60" s="19"/>
      <c r="N60" s="20"/>
      <c r="O60" s="20"/>
      <c r="P60" s="20"/>
      <c r="Q60" s="24"/>
      <c r="R60" s="22"/>
    </row>
    <row r="61" spans="1:18" ht="37.5">
      <c r="A61" s="15"/>
      <c r="B61" s="14" t="s">
        <v>943</v>
      </c>
      <c r="C61" s="81"/>
      <c r="D61" s="81"/>
      <c r="E61" s="23"/>
      <c r="F61" s="130"/>
      <c r="G61" s="23"/>
      <c r="H61" s="17"/>
      <c r="I61" s="18"/>
      <c r="J61" s="19"/>
      <c r="N61" s="20"/>
      <c r="O61" s="20"/>
      <c r="P61" s="20"/>
      <c r="Q61" s="24"/>
      <c r="R61" s="22"/>
    </row>
    <row r="62" spans="1:25" ht="18.75">
      <c r="A62" s="12"/>
      <c r="B62" s="14" t="s">
        <v>9</v>
      </c>
      <c r="C62" s="95">
        <f>SUM(C13:C30)</f>
        <v>11.725000000000001</v>
      </c>
      <c r="D62" s="95">
        <f>SUM(D13:D30)</f>
        <v>12.288</v>
      </c>
      <c r="E62" s="16">
        <f>SUM(E13:E31)</f>
        <v>353114.73733284604</v>
      </c>
      <c r="F62" s="16">
        <f>F13+F14+F15+F16+F17+F18</f>
        <v>412742.59217325033</v>
      </c>
      <c r="G62" s="16">
        <f>G13+G14+G15+G16+G17+G18</f>
        <v>361393.7360884531</v>
      </c>
      <c r="H62" s="17">
        <f>1.04993597951*C62</f>
        <v>12.310499359754752</v>
      </c>
      <c r="I62" s="18">
        <f>1.12035851472*C62</f>
        <v>13.136203585092</v>
      </c>
      <c r="J62" s="19">
        <f>J18</f>
        <v>2450.85812777</v>
      </c>
      <c r="N62" s="20"/>
      <c r="Q62" s="24"/>
      <c r="R62" s="22">
        <f>SUM(R13:R30)</f>
        <v>8.75</v>
      </c>
      <c r="S62" s="22">
        <f>SUM(S13:S30)</f>
        <v>9.16</v>
      </c>
      <c r="T62" s="22"/>
      <c r="U62" s="22"/>
      <c r="V62" s="22">
        <f>SUM(V13:V30)</f>
        <v>128670.05170792498</v>
      </c>
      <c r="W62" s="22">
        <f>SUM(W13:W30)</f>
        <v>134699.16270223918</v>
      </c>
      <c r="X62" s="22">
        <f>SUM(X13:X30)</f>
        <v>263369.21441016416</v>
      </c>
      <c r="Y62">
        <v>1.28</v>
      </c>
    </row>
    <row r="63" spans="1:42" ht="20.25">
      <c r="A63" s="13">
        <v>5</v>
      </c>
      <c r="B63" s="25" t="s">
        <v>26</v>
      </c>
      <c r="C63" s="127">
        <v>1.58</v>
      </c>
      <c r="D63" s="127">
        <v>1.85</v>
      </c>
      <c r="E63" s="128">
        <f>AN63*6*AO63</f>
        <v>50438.6602695066</v>
      </c>
      <c r="F63" s="129">
        <f>E63</f>
        <v>50438.6602695066</v>
      </c>
      <c r="G63" s="129">
        <f>AP63*12*AN63</f>
        <v>55585.4623378236</v>
      </c>
      <c r="H63" s="69" t="e">
        <f>#REF!</f>
        <v>#REF!</v>
      </c>
      <c r="I63" s="22">
        <f>C63+D63</f>
        <v>3.43</v>
      </c>
      <c r="J63" s="34">
        <v>3.43</v>
      </c>
      <c r="K63">
        <v>10</v>
      </c>
      <c r="L63">
        <v>2</v>
      </c>
      <c r="N63" s="20">
        <f>C63*J63*K63</f>
        <v>54.194</v>
      </c>
      <c r="O63" s="20" t="e">
        <f>#REF!*J63*L63</f>
        <v>#REF!</v>
      </c>
      <c r="P63" s="20" t="e">
        <f>SUM(N63:O63)</f>
        <v>#REF!</v>
      </c>
      <c r="Q63" s="21"/>
      <c r="R63" s="22">
        <v>1.47</v>
      </c>
      <c r="S63">
        <v>1.58</v>
      </c>
      <c r="T63">
        <v>6</v>
      </c>
      <c r="U63">
        <v>6</v>
      </c>
      <c r="V63">
        <f>R63*J63*T63</f>
        <v>30.2526</v>
      </c>
      <c r="W63">
        <f>S63*U63*J63</f>
        <v>32.516400000000004</v>
      </c>
      <c r="X63">
        <f>SUM(V63:W63)</f>
        <v>62.769000000000005</v>
      </c>
      <c r="AD63" t="e">
        <f>#REF!</f>
        <v>#REF!</v>
      </c>
      <c r="AE63">
        <v>3.05</v>
      </c>
      <c r="AF63">
        <v>3.43</v>
      </c>
      <c r="AN63">
        <f>C7</f>
        <v>2450.85812777</v>
      </c>
      <c r="AO63">
        <f>C63+D63</f>
        <v>3.43</v>
      </c>
      <c r="AP63">
        <v>1.89</v>
      </c>
    </row>
    <row r="64" spans="1:25" ht="18.75">
      <c r="A64" s="10"/>
      <c r="B64" s="26"/>
      <c r="C64" s="10"/>
      <c r="D64" s="10"/>
      <c r="E64" s="10"/>
      <c r="F64" s="10"/>
      <c r="G64" s="10"/>
      <c r="H64" s="10"/>
      <c r="Q64" s="24"/>
      <c r="Y64">
        <v>1.28</v>
      </c>
    </row>
    <row r="65" spans="1:25" ht="18.75">
      <c r="A65" s="179" t="s">
        <v>941</v>
      </c>
      <c r="B65" s="179"/>
      <c r="C65" s="183">
        <v>336094.81</v>
      </c>
      <c r="D65" s="183"/>
      <c r="E65" s="6" t="s">
        <v>18</v>
      </c>
      <c r="F65" s="10"/>
      <c r="G65" s="10"/>
      <c r="H65" s="10"/>
      <c r="Q65" s="24"/>
      <c r="Y65">
        <v>1.28</v>
      </c>
    </row>
    <row r="66" spans="1:17" ht="18.75">
      <c r="A66" s="179" t="s">
        <v>942</v>
      </c>
      <c r="B66" s="179"/>
      <c r="C66" s="183">
        <v>278286.23</v>
      </c>
      <c r="D66" s="183"/>
      <c r="E66" s="6" t="s">
        <v>18</v>
      </c>
      <c r="F66" s="10"/>
      <c r="G66" s="10"/>
      <c r="H66" s="10"/>
      <c r="Q66" s="24"/>
    </row>
    <row r="67" spans="1:8" ht="18.75">
      <c r="A67" s="180" t="s">
        <v>17</v>
      </c>
      <c r="B67" s="180"/>
      <c r="C67" s="180"/>
      <c r="D67" s="180"/>
      <c r="E67" s="180"/>
      <c r="F67" s="180"/>
      <c r="G67" s="180"/>
      <c r="H67" s="10"/>
    </row>
    <row r="68" spans="1:8" ht="18.75" customHeight="1" hidden="1">
      <c r="A68" s="181" t="s">
        <v>35</v>
      </c>
      <c r="B68" s="181"/>
      <c r="C68" s="5" t="e">
        <f>C65-#REF!</f>
        <v>#REF!</v>
      </c>
      <c r="D68" s="10" t="s">
        <v>18</v>
      </c>
      <c r="E68" s="10"/>
      <c r="F68" s="10"/>
      <c r="G68" s="10"/>
      <c r="H68" s="10"/>
    </row>
    <row r="69" spans="1:8" ht="18.75" customHeight="1" hidden="1">
      <c r="A69" s="181" t="s">
        <v>36</v>
      </c>
      <c r="B69" s="181"/>
      <c r="C69" s="85">
        <f>E62-F62</f>
        <v>-59627.854840404296</v>
      </c>
      <c r="D69" s="84" t="str">
        <f>D68</f>
        <v>рублей</v>
      </c>
      <c r="H69" s="28"/>
    </row>
  </sheetData>
  <sheetProtection/>
  <mergeCells count="18">
    <mergeCell ref="R9:X12"/>
    <mergeCell ref="A9:A11"/>
    <mergeCell ref="B9:B11"/>
    <mergeCell ref="C9:D10"/>
    <mergeCell ref="E9:E11"/>
    <mergeCell ref="A1:G2"/>
    <mergeCell ref="A3:G3"/>
    <mergeCell ref="A4:H5"/>
    <mergeCell ref="F9:F11"/>
    <mergeCell ref="G9:G11"/>
    <mergeCell ref="A66:B66"/>
    <mergeCell ref="C66:D66"/>
    <mergeCell ref="A67:G67"/>
    <mergeCell ref="A68:B68"/>
    <mergeCell ref="A69:B69"/>
    <mergeCell ref="J9:Q12"/>
    <mergeCell ref="C65:D65"/>
    <mergeCell ref="A65:B6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3" r:id="rId1"/>
  <rowBreaks count="1" manualBreakCount="1">
    <brk id="56" max="6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AP59"/>
  <sheetViews>
    <sheetView view="pageBreakPreview" zoomScale="70" zoomScaleSheetLayoutView="70" zoomScalePageLayoutView="0" workbookViewId="0" topLeftCell="A22">
      <selection activeCell="G12" sqref="G12"/>
    </sheetView>
  </sheetViews>
  <sheetFormatPr defaultColWidth="9.00390625" defaultRowHeight="12.75"/>
  <cols>
    <col min="1" max="1" width="9.375" style="0" bestFit="1" customWidth="1"/>
    <col min="2" max="2" width="67.875" style="0" customWidth="1"/>
    <col min="3" max="3" width="9.875" style="0" customWidth="1"/>
    <col min="4" max="4" width="13.00390625" style="0" customWidth="1"/>
    <col min="5" max="5" width="14.625" style="0" customWidth="1"/>
    <col min="6" max="6" width="15.75390625" style="0" bestFit="1" customWidth="1"/>
    <col min="7" max="7" width="13.375" style="0" bestFit="1" customWidth="1"/>
    <col min="8" max="8" width="23.375" style="0" hidden="1" customWidth="1"/>
    <col min="9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19" width="9.25390625" style="0" hidden="1" customWidth="1"/>
    <col min="20" max="42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50.25" customHeight="1">
      <c r="A3" s="182" t="s">
        <v>62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92">
        <v>1470.9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44" t="s">
        <v>99</v>
      </c>
      <c r="F9" s="247" t="s">
        <v>74</v>
      </c>
      <c r="G9" s="244" t="s">
        <v>945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69.75" customHeight="1">
      <c r="A10" s="212"/>
      <c r="B10" s="212"/>
      <c r="C10" s="216"/>
      <c r="D10" s="217"/>
      <c r="E10" s="245"/>
      <c r="F10" s="248"/>
      <c r="G10" s="245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93.75" customHeight="1">
      <c r="A11" s="213"/>
      <c r="B11" s="213"/>
      <c r="C11" s="124" t="s">
        <v>107</v>
      </c>
      <c r="D11" s="124" t="s">
        <v>106</v>
      </c>
      <c r="E11" s="246"/>
      <c r="F11" s="249"/>
      <c r="G11" s="246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41.25" customHeight="1">
      <c r="A12" s="42" t="s">
        <v>12</v>
      </c>
      <c r="B12" s="53" t="s">
        <v>20</v>
      </c>
      <c r="C12" s="74"/>
      <c r="D12" s="74"/>
      <c r="E12" s="42"/>
      <c r="F12" s="42"/>
      <c r="G12" s="42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42" ht="18.75">
      <c r="A13" s="42" t="s">
        <v>13</v>
      </c>
      <c r="B13" s="53" t="s">
        <v>10</v>
      </c>
      <c r="C13" s="34">
        <v>1.09</v>
      </c>
      <c r="D13" s="34">
        <v>1.14</v>
      </c>
      <c r="E13" s="42">
        <f aca="true" t="shared" si="0" ref="E13:E18">AN13*AO13*6</f>
        <v>19680.642</v>
      </c>
      <c r="F13" s="99">
        <f>E13</f>
        <v>19680.642</v>
      </c>
      <c r="G13" s="42">
        <f aca="true" t="shared" si="1" ref="G13:G18">AN13*12*AP13</f>
        <v>20121.912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1470.9</v>
      </c>
      <c r="K13">
        <v>6</v>
      </c>
      <c r="L13">
        <v>2</v>
      </c>
      <c r="M13">
        <v>4</v>
      </c>
      <c r="N13" s="20">
        <f aca="true" t="shared" si="4" ref="N13:N18">C13*J13*K13</f>
        <v>9619.686000000002</v>
      </c>
      <c r="O13" s="20" t="e">
        <f>J13*#REF!*L13</f>
        <v>#REF!</v>
      </c>
      <c r="P13" s="20">
        <f aca="true" t="shared" si="5" ref="P13:P18">D13*J13*M13</f>
        <v>6707.304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9266.670000000002</v>
      </c>
      <c r="W13">
        <f aca="true" t="shared" si="8" ref="W13:W18">U13*S13*J13</f>
        <v>9619.686000000002</v>
      </c>
      <c r="X13">
        <f aca="true" t="shared" si="9" ref="X13:X18">SUM(V13:W13)</f>
        <v>18886.356000000003</v>
      </c>
      <c r="AN13" s="69">
        <f>C7</f>
        <v>1470.9</v>
      </c>
      <c r="AO13" s="22">
        <f aca="true" t="shared" si="10" ref="AO13:AO18">C13+D13</f>
        <v>2.23</v>
      </c>
      <c r="AP13" s="34">
        <v>1.14</v>
      </c>
    </row>
    <row r="14" spans="1:42" ht="19.5" customHeight="1">
      <c r="A14" s="42" t="s">
        <v>14</v>
      </c>
      <c r="B14" s="53" t="s">
        <v>15</v>
      </c>
      <c r="C14" s="34">
        <v>1.39</v>
      </c>
      <c r="D14" s="34">
        <v>1.46</v>
      </c>
      <c r="E14" s="42">
        <f t="shared" si="0"/>
        <v>25152.39</v>
      </c>
      <c r="F14" s="99">
        <f>E14</f>
        <v>25152.39</v>
      </c>
      <c r="G14" s="42">
        <f t="shared" si="1"/>
        <v>25770.168000000005</v>
      </c>
      <c r="H14" s="17">
        <f t="shared" si="2"/>
        <v>1.4594110115189</v>
      </c>
      <c r="I14" s="18">
        <f t="shared" si="3"/>
        <v>1.5572983354607999</v>
      </c>
      <c r="J14" s="19">
        <f>J13</f>
        <v>1470.9</v>
      </c>
      <c r="K14">
        <v>6</v>
      </c>
      <c r="L14">
        <v>2</v>
      </c>
      <c r="M14">
        <v>4</v>
      </c>
      <c r="N14" s="20">
        <f t="shared" si="4"/>
        <v>12267.306</v>
      </c>
      <c r="O14" s="20" t="e">
        <f>J14*#REF!*L14</f>
        <v>#REF!</v>
      </c>
      <c r="P14" s="20">
        <f t="shared" si="5"/>
        <v>8590.056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11737.782000000001</v>
      </c>
      <c r="W14">
        <f t="shared" si="8"/>
        <v>12267.306</v>
      </c>
      <c r="X14">
        <f t="shared" si="9"/>
        <v>24005.088000000003</v>
      </c>
      <c r="AN14">
        <f>AN13</f>
        <v>1470.9</v>
      </c>
      <c r="AO14" s="22">
        <f t="shared" si="10"/>
        <v>2.8499999999999996</v>
      </c>
      <c r="AP14" s="34">
        <v>1.46</v>
      </c>
    </row>
    <row r="15" spans="1:42" ht="18.75">
      <c r="A15" s="42" t="s">
        <v>16</v>
      </c>
      <c r="B15" s="53" t="s">
        <v>7</v>
      </c>
      <c r="C15" s="34"/>
      <c r="D15" s="34"/>
      <c r="E15" s="42"/>
      <c r="F15" s="99"/>
      <c r="G15" s="42"/>
      <c r="H15" s="17">
        <f t="shared" si="2"/>
        <v>0</v>
      </c>
      <c r="I15" s="18">
        <f t="shared" si="3"/>
        <v>0</v>
      </c>
      <c r="J15" s="19">
        <f>J14</f>
        <v>1470.9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1147.3020000000001</v>
      </c>
      <c r="W15">
        <f t="shared" si="8"/>
        <v>0</v>
      </c>
      <c r="X15">
        <f t="shared" si="9"/>
        <v>1147.3020000000001</v>
      </c>
      <c r="AN15">
        <f>AN14</f>
        <v>1470.9</v>
      </c>
      <c r="AO15" s="22">
        <f t="shared" si="10"/>
        <v>0</v>
      </c>
      <c r="AP15" s="34">
        <v>0</v>
      </c>
    </row>
    <row r="16" spans="1:42" ht="18.75">
      <c r="A16" s="42" t="s">
        <v>21</v>
      </c>
      <c r="B16" s="53" t="s">
        <v>11</v>
      </c>
      <c r="C16" s="34">
        <v>0.82</v>
      </c>
      <c r="D16" s="34">
        <v>0.58</v>
      </c>
      <c r="E16" s="42">
        <f t="shared" si="0"/>
        <v>12355.560000000001</v>
      </c>
      <c r="F16" s="99">
        <f>E16</f>
        <v>12355.560000000001</v>
      </c>
      <c r="G16" s="42">
        <f t="shared" si="1"/>
        <v>10237.464000000002</v>
      </c>
      <c r="H16" s="17">
        <f t="shared" si="2"/>
        <v>0.8609475031982</v>
      </c>
      <c r="I16" s="18">
        <f t="shared" si="3"/>
        <v>0.9186939820703999</v>
      </c>
      <c r="J16" s="19">
        <f>J15</f>
        <v>1470.9</v>
      </c>
      <c r="K16">
        <v>6</v>
      </c>
      <c r="L16">
        <v>2</v>
      </c>
      <c r="M16">
        <v>4</v>
      </c>
      <c r="N16" s="20">
        <f t="shared" si="4"/>
        <v>7236.8279999999995</v>
      </c>
      <c r="O16" s="20" t="e">
        <f>J16*#REF!*L16</f>
        <v>#REF!</v>
      </c>
      <c r="P16" s="20">
        <f t="shared" si="5"/>
        <v>3412.488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6972.066000000001</v>
      </c>
      <c r="W16">
        <f t="shared" si="8"/>
        <v>7236.828</v>
      </c>
      <c r="X16">
        <f t="shared" si="9"/>
        <v>14208.894</v>
      </c>
      <c r="AN16">
        <f>AN15</f>
        <v>1470.9</v>
      </c>
      <c r="AO16" s="22">
        <f t="shared" si="10"/>
        <v>1.4</v>
      </c>
      <c r="AP16" s="34">
        <v>0.58</v>
      </c>
    </row>
    <row r="17" spans="1:42" ht="18.75">
      <c r="A17" s="42" t="s">
        <v>22</v>
      </c>
      <c r="B17" s="53" t="s">
        <v>19</v>
      </c>
      <c r="C17" s="34">
        <v>1.24</v>
      </c>
      <c r="D17" s="34">
        <v>1.24</v>
      </c>
      <c r="E17" s="42">
        <f t="shared" si="0"/>
        <v>21886.992000000002</v>
      </c>
      <c r="F17" s="99">
        <f>E17</f>
        <v>21886.992000000002</v>
      </c>
      <c r="G17" s="42">
        <f t="shared" si="1"/>
        <v>21886.992000000002</v>
      </c>
      <c r="H17" s="17">
        <f t="shared" si="2"/>
        <v>1.3019206145924</v>
      </c>
      <c r="I17" s="18">
        <f t="shared" si="3"/>
        <v>1.3892445582528</v>
      </c>
      <c r="J17" s="19">
        <f>J16</f>
        <v>1470.9</v>
      </c>
      <c r="K17">
        <v>6</v>
      </c>
      <c r="L17">
        <v>2</v>
      </c>
      <c r="M17">
        <v>4</v>
      </c>
      <c r="N17" s="20">
        <f t="shared" si="4"/>
        <v>10943.496000000001</v>
      </c>
      <c r="O17" s="20" t="e">
        <f>J17*#REF!*L17</f>
        <v>#REF!</v>
      </c>
      <c r="P17" s="20">
        <f t="shared" si="5"/>
        <v>7295.664000000001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10943.496000000001</v>
      </c>
      <c r="W17">
        <f t="shared" si="8"/>
        <v>10943.496</v>
      </c>
      <c r="X17">
        <f t="shared" si="9"/>
        <v>21886.992</v>
      </c>
      <c r="AN17">
        <f>AN16</f>
        <v>1470.9</v>
      </c>
      <c r="AO17" s="22">
        <f t="shared" si="10"/>
        <v>2.48</v>
      </c>
      <c r="AP17" s="34">
        <v>1.24</v>
      </c>
    </row>
    <row r="18" spans="1:42" ht="56.25">
      <c r="A18" s="42" t="s">
        <v>23</v>
      </c>
      <c r="B18" s="53" t="s">
        <v>24</v>
      </c>
      <c r="C18" s="34">
        <v>4.47</v>
      </c>
      <c r="D18" s="34">
        <v>5.18</v>
      </c>
      <c r="E18" s="42">
        <f t="shared" si="0"/>
        <v>85165.11</v>
      </c>
      <c r="F18" s="99">
        <f>F20+F21+F23+F24+F26+F28+F29+F31+F33+F35+F36+F38+F40+F41+F42+F44+F45+F47+F48+F50</f>
        <v>156780.72</v>
      </c>
      <c r="G18" s="42">
        <f t="shared" si="1"/>
        <v>91431.14400000001</v>
      </c>
      <c r="H18" s="17">
        <f t="shared" si="2"/>
        <v>4.6932138284097</v>
      </c>
      <c r="I18" s="18">
        <f t="shared" si="3"/>
        <v>5.008002560798399</v>
      </c>
      <c r="J18" s="19">
        <f>J17</f>
        <v>1470.9</v>
      </c>
      <c r="K18">
        <v>6</v>
      </c>
      <c r="L18">
        <v>2</v>
      </c>
      <c r="M18">
        <v>4</v>
      </c>
      <c r="N18" s="20">
        <f t="shared" si="4"/>
        <v>39449.538</v>
      </c>
      <c r="O18" s="20" t="e">
        <f>J18*#REF!*L18</f>
        <v>#REF!</v>
      </c>
      <c r="P18" s="20">
        <f t="shared" si="5"/>
        <v>30477.048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37154.934</v>
      </c>
      <c r="W18">
        <f t="shared" si="8"/>
        <v>40773.348</v>
      </c>
      <c r="X18">
        <f t="shared" si="9"/>
        <v>77928.282</v>
      </c>
      <c r="AN18">
        <f>AN17</f>
        <v>1470.9</v>
      </c>
      <c r="AO18" s="22">
        <f t="shared" si="10"/>
        <v>9.649999999999999</v>
      </c>
      <c r="AP18" s="34">
        <v>5.18</v>
      </c>
    </row>
    <row r="19" spans="1:19" ht="18.75">
      <c r="A19" s="42"/>
      <c r="B19" s="42" t="s">
        <v>75</v>
      </c>
      <c r="C19" s="74"/>
      <c r="D19" s="74"/>
      <c r="E19" s="42"/>
      <c r="F19" s="99"/>
      <c r="G19" s="42"/>
      <c r="H19" s="17"/>
      <c r="I19" s="18"/>
      <c r="J19" s="19"/>
      <c r="N19" s="20"/>
      <c r="O19" s="20"/>
      <c r="P19" s="20"/>
      <c r="Q19" s="21"/>
      <c r="R19" s="22"/>
      <c r="S19" s="22"/>
    </row>
    <row r="20" spans="1:40" ht="18.75">
      <c r="A20" s="42"/>
      <c r="B20" s="53" t="s">
        <v>665</v>
      </c>
      <c r="C20" s="74"/>
      <c r="D20" s="74"/>
      <c r="E20" s="42"/>
      <c r="F20" s="100">
        <v>926.28</v>
      </c>
      <c r="G20" s="42"/>
      <c r="H20" s="17"/>
      <c r="I20" s="18"/>
      <c r="J20" s="19"/>
      <c r="N20" s="20"/>
      <c r="O20" s="20"/>
      <c r="P20" s="20"/>
      <c r="Q20" s="21"/>
      <c r="R20" s="22"/>
      <c r="S20" s="22"/>
      <c r="AN20" s="22" t="e">
        <f>F20+#REF!+F21+#REF!+#REF!+F27+F28</f>
        <v>#REF!</v>
      </c>
    </row>
    <row r="21" spans="1:19" ht="56.25">
      <c r="A21" s="42"/>
      <c r="B21" s="53" t="s">
        <v>666</v>
      </c>
      <c r="C21" s="74"/>
      <c r="D21" s="74"/>
      <c r="E21" s="42"/>
      <c r="F21" s="99">
        <v>5224.46</v>
      </c>
      <c r="G21" s="42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18.75">
      <c r="A22" s="42"/>
      <c r="B22" s="42" t="s">
        <v>667</v>
      </c>
      <c r="C22" s="74"/>
      <c r="D22" s="74"/>
      <c r="E22" s="42"/>
      <c r="F22" s="99"/>
      <c r="G22" s="42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37.5">
      <c r="A23" s="42"/>
      <c r="B23" s="53" t="s">
        <v>668</v>
      </c>
      <c r="C23" s="74"/>
      <c r="D23" s="74"/>
      <c r="E23" s="42"/>
      <c r="F23" s="99">
        <v>11172.27</v>
      </c>
      <c r="G23" s="42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42"/>
      <c r="B24" s="53" t="s">
        <v>669</v>
      </c>
      <c r="C24" s="74"/>
      <c r="D24" s="74"/>
      <c r="E24" s="42"/>
      <c r="F24" s="99">
        <v>1176.81</v>
      </c>
      <c r="G24" s="42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42"/>
      <c r="B25" s="42" t="s">
        <v>514</v>
      </c>
      <c r="C25" s="74"/>
      <c r="D25" s="74"/>
      <c r="E25" s="42"/>
      <c r="F25" s="99"/>
      <c r="G25" s="42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37.5">
      <c r="A26" s="42"/>
      <c r="B26" s="53" t="s">
        <v>670</v>
      </c>
      <c r="C26" s="74"/>
      <c r="D26" s="74"/>
      <c r="E26" s="42"/>
      <c r="F26" s="99">
        <v>6501.64</v>
      </c>
      <c r="G26" s="42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42"/>
      <c r="B27" s="42" t="s">
        <v>90</v>
      </c>
      <c r="C27" s="74"/>
      <c r="D27" s="74"/>
      <c r="E27" s="42"/>
      <c r="F27" s="99"/>
      <c r="G27" s="42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42"/>
      <c r="B28" s="53" t="s">
        <v>671</v>
      </c>
      <c r="C28" s="74"/>
      <c r="D28" s="74"/>
      <c r="E28" s="42"/>
      <c r="F28" s="99">
        <v>49296.94</v>
      </c>
      <c r="G28" s="42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20.25" customHeight="1">
      <c r="A29" s="42"/>
      <c r="B29" s="53" t="s">
        <v>672</v>
      </c>
      <c r="C29" s="74"/>
      <c r="D29" s="74"/>
      <c r="E29" s="42"/>
      <c r="F29" s="99">
        <v>8413.52</v>
      </c>
      <c r="G29" s="42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20.25" customHeight="1">
      <c r="A30" s="42"/>
      <c r="B30" s="42" t="s">
        <v>539</v>
      </c>
      <c r="C30" s="74"/>
      <c r="D30" s="74"/>
      <c r="E30" s="42"/>
      <c r="F30" s="99"/>
      <c r="G30" s="42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20.25" customHeight="1">
      <c r="A31" s="42"/>
      <c r="B31" s="53" t="s">
        <v>673</v>
      </c>
      <c r="C31" s="74"/>
      <c r="D31" s="74"/>
      <c r="E31" s="42"/>
      <c r="F31" s="99">
        <v>14604.77</v>
      </c>
      <c r="G31" s="42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18.75">
      <c r="A32" s="42"/>
      <c r="B32" s="42" t="s">
        <v>92</v>
      </c>
      <c r="C32" s="74"/>
      <c r="D32" s="74"/>
      <c r="E32" s="42"/>
      <c r="F32" s="99"/>
      <c r="G32" s="42"/>
      <c r="H32" s="17"/>
      <c r="I32" s="18"/>
      <c r="J32" s="19"/>
      <c r="N32" s="20"/>
      <c r="O32" s="20"/>
      <c r="P32" s="20"/>
      <c r="Q32" s="21"/>
      <c r="R32" s="22"/>
      <c r="S32" s="22"/>
    </row>
    <row r="33" spans="1:19" ht="18.75">
      <c r="A33" s="42"/>
      <c r="B33" s="53" t="s">
        <v>674</v>
      </c>
      <c r="C33" s="74"/>
      <c r="D33" s="74"/>
      <c r="E33" s="42"/>
      <c r="F33" s="99">
        <v>6492.2</v>
      </c>
      <c r="G33" s="42"/>
      <c r="H33" s="17"/>
      <c r="I33" s="18"/>
      <c r="J33" s="19"/>
      <c r="N33" s="20"/>
      <c r="O33" s="20"/>
      <c r="P33" s="20"/>
      <c r="Q33" s="21"/>
      <c r="R33" s="22"/>
      <c r="S33" s="22"/>
    </row>
    <row r="34" spans="1:19" ht="18.75">
      <c r="A34" s="42"/>
      <c r="B34" s="42" t="s">
        <v>93</v>
      </c>
      <c r="C34" s="74"/>
      <c r="D34" s="74"/>
      <c r="E34" s="42"/>
      <c r="F34" s="99"/>
      <c r="G34" s="42"/>
      <c r="H34" s="17"/>
      <c r="I34" s="18"/>
      <c r="J34" s="19"/>
      <c r="N34" s="20"/>
      <c r="O34" s="20"/>
      <c r="P34" s="20"/>
      <c r="Q34" s="21"/>
      <c r="R34" s="22"/>
      <c r="S34" s="22"/>
    </row>
    <row r="35" spans="1:24" ht="18.75">
      <c r="A35" s="42"/>
      <c r="B35" s="53" t="s">
        <v>675</v>
      </c>
      <c r="C35" s="74"/>
      <c r="D35" s="74"/>
      <c r="E35" s="42"/>
      <c r="F35" s="99">
        <v>12364.44</v>
      </c>
      <c r="G35" s="42"/>
      <c r="H35" s="17"/>
      <c r="I35" s="18"/>
      <c r="J35" s="19"/>
      <c r="K35">
        <v>6</v>
      </c>
      <c r="L35">
        <v>2</v>
      </c>
      <c r="M35">
        <v>4</v>
      </c>
      <c r="N35" s="20">
        <f>C35*J35*K35</f>
        <v>0</v>
      </c>
      <c r="O35" s="20" t="e">
        <f>J35*#REF!*L35</f>
        <v>#REF!</v>
      </c>
      <c r="P35" s="20">
        <f>D35*J35*M35</f>
        <v>0</v>
      </c>
      <c r="Q35" s="24"/>
      <c r="R35" s="22"/>
      <c r="V35">
        <f>J35*R35*U35</f>
        <v>0</v>
      </c>
      <c r="W35">
        <f>U35*S35*J35</f>
        <v>0</v>
      </c>
      <c r="X35">
        <f>SUM(V35:W35)</f>
        <v>0</v>
      </c>
    </row>
    <row r="36" spans="1:24" ht="18.75">
      <c r="A36" s="42"/>
      <c r="B36" s="53" t="s">
        <v>676</v>
      </c>
      <c r="C36" s="74"/>
      <c r="D36" s="74"/>
      <c r="E36" s="42"/>
      <c r="F36" s="99">
        <v>207.54</v>
      </c>
      <c r="G36" s="42"/>
      <c r="H36" s="17"/>
      <c r="I36" s="18"/>
      <c r="J36" s="19"/>
      <c r="K36">
        <v>6</v>
      </c>
      <c r="L36">
        <v>2</v>
      </c>
      <c r="M36">
        <v>4</v>
      </c>
      <c r="N36" s="20">
        <f>C36*J36*K36</f>
        <v>0</v>
      </c>
      <c r="O36" s="20" t="e">
        <f>J36*#REF!*L36</f>
        <v>#REF!</v>
      </c>
      <c r="P36" s="20">
        <f>D36*J36*M36</f>
        <v>0</v>
      </c>
      <c r="Q36" s="24"/>
      <c r="R36" s="22"/>
      <c r="V36">
        <f>J36*R36*U36</f>
        <v>0</v>
      </c>
      <c r="W36">
        <f>U36*S36*J36</f>
        <v>0</v>
      </c>
      <c r="X36">
        <f>SUM(V36:W36)</f>
        <v>0</v>
      </c>
    </row>
    <row r="37" spans="1:18" ht="18.75">
      <c r="A37" s="42"/>
      <c r="B37" s="42" t="s">
        <v>94</v>
      </c>
      <c r="C37" s="74"/>
      <c r="D37" s="74"/>
      <c r="E37" s="42"/>
      <c r="F37" s="99"/>
      <c r="G37" s="42"/>
      <c r="H37" s="17"/>
      <c r="I37" s="18"/>
      <c r="J37" s="19"/>
      <c r="N37" s="20"/>
      <c r="O37" s="20"/>
      <c r="P37" s="20"/>
      <c r="Q37" s="24"/>
      <c r="R37" s="22"/>
    </row>
    <row r="38" spans="1:18" ht="37.5">
      <c r="A38" s="42"/>
      <c r="B38" s="53" t="s">
        <v>677</v>
      </c>
      <c r="C38" s="74"/>
      <c r="D38" s="74"/>
      <c r="E38" s="42"/>
      <c r="F38" s="99">
        <v>5898.46</v>
      </c>
      <c r="G38" s="42"/>
      <c r="H38" s="17"/>
      <c r="I38" s="18"/>
      <c r="J38" s="19"/>
      <c r="N38" s="20"/>
      <c r="O38" s="20"/>
      <c r="P38" s="20"/>
      <c r="Q38" s="24"/>
      <c r="R38" s="22"/>
    </row>
    <row r="39" spans="1:18" ht="18.75">
      <c r="A39" s="42"/>
      <c r="B39" s="42" t="s">
        <v>98</v>
      </c>
      <c r="C39" s="74"/>
      <c r="D39" s="74"/>
      <c r="E39" s="42"/>
      <c r="F39" s="99"/>
      <c r="G39" s="42"/>
      <c r="H39" s="17"/>
      <c r="I39" s="18"/>
      <c r="J39" s="19"/>
      <c r="N39" s="20"/>
      <c r="O39" s="20"/>
      <c r="P39" s="20"/>
      <c r="Q39" s="24"/>
      <c r="R39" s="22"/>
    </row>
    <row r="40" spans="1:18" ht="37.5">
      <c r="A40" s="42"/>
      <c r="B40" s="53" t="s">
        <v>678</v>
      </c>
      <c r="C40" s="74"/>
      <c r="D40" s="74"/>
      <c r="E40" s="42"/>
      <c r="F40" s="99">
        <v>311.45</v>
      </c>
      <c r="G40" s="42"/>
      <c r="H40" s="17"/>
      <c r="I40" s="18"/>
      <c r="J40" s="19"/>
      <c r="N40" s="20"/>
      <c r="O40" s="20"/>
      <c r="P40" s="20"/>
      <c r="Q40" s="24"/>
      <c r="R40" s="22"/>
    </row>
    <row r="41" spans="1:18" ht="18.75">
      <c r="A41" s="42"/>
      <c r="B41" s="53" t="s">
        <v>679</v>
      </c>
      <c r="C41" s="74"/>
      <c r="D41" s="74"/>
      <c r="E41" s="42"/>
      <c r="F41" s="99">
        <v>830.16</v>
      </c>
      <c r="G41" s="42"/>
      <c r="H41" s="17"/>
      <c r="I41" s="18"/>
      <c r="J41" s="19"/>
      <c r="N41" s="20"/>
      <c r="O41" s="20"/>
      <c r="P41" s="20"/>
      <c r="Q41" s="24"/>
      <c r="R41" s="22"/>
    </row>
    <row r="42" spans="1:18" ht="18.75">
      <c r="A42" s="42"/>
      <c r="B42" s="53" t="s">
        <v>680</v>
      </c>
      <c r="C42" s="74"/>
      <c r="D42" s="74"/>
      <c r="E42" s="42"/>
      <c r="F42" s="99">
        <v>145.98</v>
      </c>
      <c r="G42" s="42"/>
      <c r="H42" s="17"/>
      <c r="I42" s="18"/>
      <c r="J42" s="19"/>
      <c r="N42" s="20"/>
      <c r="O42" s="20"/>
      <c r="P42" s="20"/>
      <c r="Q42" s="24"/>
      <c r="R42" s="22"/>
    </row>
    <row r="43" spans="1:18" ht="18.75">
      <c r="A43" s="42"/>
      <c r="B43" s="42" t="s">
        <v>100</v>
      </c>
      <c r="C43" s="74"/>
      <c r="D43" s="74"/>
      <c r="E43" s="42"/>
      <c r="F43" s="99"/>
      <c r="G43" s="42"/>
      <c r="H43" s="17"/>
      <c r="I43" s="18"/>
      <c r="J43" s="19"/>
      <c r="N43" s="20"/>
      <c r="O43" s="20"/>
      <c r="P43" s="20"/>
      <c r="Q43" s="24"/>
      <c r="R43" s="22"/>
    </row>
    <row r="44" spans="1:18" ht="37.5">
      <c r="A44" s="42"/>
      <c r="B44" s="53" t="s">
        <v>681</v>
      </c>
      <c r="C44" s="74"/>
      <c r="D44" s="74"/>
      <c r="E44" s="42"/>
      <c r="F44" s="99">
        <v>5644.34</v>
      </c>
      <c r="G44" s="42"/>
      <c r="H44" s="17"/>
      <c r="I44" s="18"/>
      <c r="J44" s="19"/>
      <c r="N44" s="20"/>
      <c r="O44" s="20"/>
      <c r="P44" s="20"/>
      <c r="Q44" s="24"/>
      <c r="R44" s="22"/>
    </row>
    <row r="45" spans="1:18" ht="20.25" customHeight="1">
      <c r="A45" s="42"/>
      <c r="B45" s="53" t="s">
        <v>682</v>
      </c>
      <c r="C45" s="74"/>
      <c r="D45" s="74"/>
      <c r="E45" s="42"/>
      <c r="F45" s="99">
        <v>1525.34</v>
      </c>
      <c r="G45" s="42"/>
      <c r="H45" s="17"/>
      <c r="I45" s="18"/>
      <c r="J45" s="19"/>
      <c r="N45" s="20"/>
      <c r="O45" s="20"/>
      <c r="P45" s="20"/>
      <c r="Q45" s="24"/>
      <c r="R45" s="22"/>
    </row>
    <row r="46" spans="1:18" ht="18.75">
      <c r="A46" s="42"/>
      <c r="B46" s="42" t="s">
        <v>96</v>
      </c>
      <c r="C46" s="74"/>
      <c r="D46" s="74"/>
      <c r="E46" s="42"/>
      <c r="F46" s="99"/>
      <c r="G46" s="42"/>
      <c r="H46" s="17"/>
      <c r="I46" s="18"/>
      <c r="J46" s="19"/>
      <c r="N46" s="20"/>
      <c r="O46" s="20"/>
      <c r="P46" s="20"/>
      <c r="Q46" s="24"/>
      <c r="R46" s="22"/>
    </row>
    <row r="47" spans="1:18" ht="56.25">
      <c r="A47" s="42"/>
      <c r="B47" s="53" t="s">
        <v>683</v>
      </c>
      <c r="C47" s="74"/>
      <c r="D47" s="74"/>
      <c r="E47" s="42"/>
      <c r="F47" s="99">
        <v>8801.37</v>
      </c>
      <c r="G47" s="42"/>
      <c r="H47" s="17"/>
      <c r="I47" s="18"/>
      <c r="J47" s="19"/>
      <c r="N47" s="20"/>
      <c r="O47" s="20"/>
      <c r="P47" s="20"/>
      <c r="Q47" s="24"/>
      <c r="R47" s="22"/>
    </row>
    <row r="48" spans="1:18" ht="18.75">
      <c r="A48" s="42"/>
      <c r="B48" s="53" t="s">
        <v>684</v>
      </c>
      <c r="C48" s="74"/>
      <c r="D48" s="74"/>
      <c r="E48" s="42"/>
      <c r="F48" s="99">
        <v>1832.58</v>
      </c>
      <c r="G48" s="42"/>
      <c r="H48" s="17"/>
      <c r="I48" s="18"/>
      <c r="J48" s="19"/>
      <c r="N48" s="20"/>
      <c r="O48" s="20"/>
      <c r="P48" s="20"/>
      <c r="Q48" s="24"/>
      <c r="R48" s="22"/>
    </row>
    <row r="49" spans="1:18" ht="18.75">
      <c r="A49" s="42"/>
      <c r="B49" s="42" t="s">
        <v>97</v>
      </c>
      <c r="C49" s="74"/>
      <c r="D49" s="74"/>
      <c r="E49" s="42"/>
      <c r="F49" s="99"/>
      <c r="G49" s="42"/>
      <c r="H49" s="17"/>
      <c r="I49" s="18"/>
      <c r="J49" s="19"/>
      <c r="N49" s="20"/>
      <c r="O49" s="20"/>
      <c r="P49" s="20"/>
      <c r="Q49" s="24"/>
      <c r="R49" s="22"/>
    </row>
    <row r="50" spans="1:18" ht="56.25">
      <c r="A50" s="42"/>
      <c r="B50" s="53" t="s">
        <v>685</v>
      </c>
      <c r="C50" s="74"/>
      <c r="D50" s="74"/>
      <c r="E50" s="42"/>
      <c r="F50" s="99">
        <v>15410.17</v>
      </c>
      <c r="G50" s="42"/>
      <c r="H50" s="17"/>
      <c r="I50" s="18"/>
      <c r="J50" s="19"/>
      <c r="N50" s="20"/>
      <c r="O50" s="20"/>
      <c r="P50" s="20"/>
      <c r="Q50" s="24"/>
      <c r="R50" s="22"/>
    </row>
    <row r="51" spans="1:18" ht="37.5">
      <c r="A51" s="42"/>
      <c r="B51" s="14" t="s">
        <v>943</v>
      </c>
      <c r="C51" s="74"/>
      <c r="D51" s="74"/>
      <c r="E51" s="42">
        <v>-2003.58</v>
      </c>
      <c r="F51" s="99">
        <f>E51</f>
        <v>-2003.58</v>
      </c>
      <c r="G51" s="42"/>
      <c r="H51" s="17"/>
      <c r="I51" s="18"/>
      <c r="J51" s="19"/>
      <c r="N51" s="20"/>
      <c r="O51" s="20"/>
      <c r="P51" s="20"/>
      <c r="Q51" s="24"/>
      <c r="R51" s="22"/>
    </row>
    <row r="52" spans="1:24" ht="18.75">
      <c r="A52" s="53"/>
      <c r="B52" s="53" t="s">
        <v>9</v>
      </c>
      <c r="C52" s="74">
        <f>SUM(C13:C36)</f>
        <v>9.01</v>
      </c>
      <c r="D52" s="74">
        <f>SUM(D13:D36)</f>
        <v>9.6</v>
      </c>
      <c r="E52" s="42">
        <f>SUM(E13:E36)+E51</f>
        <v>162237.11400000003</v>
      </c>
      <c r="F52" s="42">
        <f>F13+F14+F15+F16+F17+F18+F51</f>
        <v>233852.72400000002</v>
      </c>
      <c r="G52" s="42">
        <f>G13+G14+G15+G16+G17+G18</f>
        <v>169447.68000000002</v>
      </c>
      <c r="H52" s="17">
        <f>1.04993597951*C52</f>
        <v>9.4599231753851</v>
      </c>
      <c r="I52" s="18">
        <f>1.12035851472*C52</f>
        <v>10.094430217627199</v>
      </c>
      <c r="J52" s="19">
        <f>J18</f>
        <v>1470.9</v>
      </c>
      <c r="N52" s="20"/>
      <c r="Q52" s="24"/>
      <c r="R52" s="22">
        <f>SUM(R13:R36)</f>
        <v>8.75</v>
      </c>
      <c r="S52" s="22">
        <f>SUM(S13:S36)</f>
        <v>9.16</v>
      </c>
      <c r="T52" s="22"/>
      <c r="U52" s="22"/>
      <c r="V52" s="22">
        <f>SUM(V13:V36)</f>
        <v>77222.25</v>
      </c>
      <c r="W52" s="22">
        <f>SUM(W13:W36)</f>
        <v>80840.664</v>
      </c>
      <c r="X52" s="22">
        <f>SUM(X13:X36)</f>
        <v>158062.91400000002</v>
      </c>
    </row>
    <row r="53" spans="1:42" ht="20.25">
      <c r="A53" s="13">
        <v>5</v>
      </c>
      <c r="B53" s="54" t="s">
        <v>26</v>
      </c>
      <c r="C53" s="127">
        <v>1.58</v>
      </c>
      <c r="D53" s="127">
        <v>1.85</v>
      </c>
      <c r="E53" s="128">
        <f>AN53*6*AO53</f>
        <v>30271.122000000007</v>
      </c>
      <c r="F53" s="129">
        <f>E53</f>
        <v>30271.122000000007</v>
      </c>
      <c r="G53" s="129">
        <f>AP53*12*AN53</f>
        <v>33360.012</v>
      </c>
      <c r="H53" s="69" t="e">
        <f>#REF!</f>
        <v>#REF!</v>
      </c>
      <c r="I53" s="22">
        <f>C53+D53</f>
        <v>3.43</v>
      </c>
      <c r="J53" s="34">
        <v>3.43</v>
      </c>
      <c r="K53">
        <v>10</v>
      </c>
      <c r="L53">
        <v>2</v>
      </c>
      <c r="N53" s="20">
        <f>C53*J53*K53</f>
        <v>54.194</v>
      </c>
      <c r="O53" s="20" t="e">
        <f>#REF!*J53*L53</f>
        <v>#REF!</v>
      </c>
      <c r="P53" s="20" t="e">
        <f>SUM(N53:O53)</f>
        <v>#REF!</v>
      </c>
      <c r="Q53" s="21"/>
      <c r="R53" s="22">
        <v>1.47</v>
      </c>
      <c r="S53">
        <v>1.58</v>
      </c>
      <c r="T53">
        <v>6</v>
      </c>
      <c r="U53">
        <v>6</v>
      </c>
      <c r="V53">
        <f>R53*J53*T53</f>
        <v>30.2526</v>
      </c>
      <c r="W53">
        <f>S53*U53*J53</f>
        <v>32.516400000000004</v>
      </c>
      <c r="X53">
        <f>SUM(V53:W53)</f>
        <v>62.769000000000005</v>
      </c>
      <c r="AD53">
        <f>C10</f>
        <v>0</v>
      </c>
      <c r="AE53">
        <v>3.05</v>
      </c>
      <c r="AF53">
        <v>3.43</v>
      </c>
      <c r="AN53">
        <f>C7</f>
        <v>1470.9</v>
      </c>
      <c r="AO53">
        <f>C53+D53</f>
        <v>3.43</v>
      </c>
      <c r="AP53">
        <v>1.89</v>
      </c>
    </row>
    <row r="54" spans="1:17" ht="18.75">
      <c r="A54" s="55"/>
      <c r="B54" s="56"/>
      <c r="C54" s="55"/>
      <c r="D54" s="55"/>
      <c r="E54" s="55"/>
      <c r="F54" s="55"/>
      <c r="G54" s="55"/>
      <c r="H54" s="10"/>
      <c r="Q54" s="24"/>
    </row>
    <row r="55" spans="1:17" ht="18.75" customHeight="1">
      <c r="A55" s="179" t="s">
        <v>941</v>
      </c>
      <c r="B55" s="179"/>
      <c r="C55" s="193">
        <v>25635.47</v>
      </c>
      <c r="D55" s="193"/>
      <c r="E55" s="55" t="s">
        <v>18</v>
      </c>
      <c r="F55" s="55"/>
      <c r="G55" s="55"/>
      <c r="H55" s="10"/>
      <c r="Q55" s="24"/>
    </row>
    <row r="56" spans="1:17" ht="18.75" customHeight="1">
      <c r="A56" s="179" t="s">
        <v>942</v>
      </c>
      <c r="B56" s="179"/>
      <c r="C56" s="193">
        <v>24305.66</v>
      </c>
      <c r="D56" s="193"/>
      <c r="E56" s="55" t="s">
        <v>18</v>
      </c>
      <c r="F56" s="55"/>
      <c r="G56" s="55"/>
      <c r="H56" s="10"/>
      <c r="Q56" s="24"/>
    </row>
    <row r="57" spans="1:8" ht="18.75">
      <c r="A57" s="207" t="s">
        <v>17</v>
      </c>
      <c r="B57" s="207"/>
      <c r="C57" s="207"/>
      <c r="D57" s="207"/>
      <c r="E57" s="207"/>
      <c r="F57" s="207"/>
      <c r="G57" s="207"/>
      <c r="H57" s="10"/>
    </row>
    <row r="58" spans="1:8" ht="18.75" customHeight="1" hidden="1">
      <c r="A58" s="206" t="s">
        <v>35</v>
      </c>
      <c r="B58" s="206"/>
      <c r="C58" s="52" t="e">
        <f>C55-#REF!</f>
        <v>#REF!</v>
      </c>
      <c r="D58" s="55" t="s">
        <v>18</v>
      </c>
      <c r="E58" s="55"/>
      <c r="F58" s="55"/>
      <c r="G58" s="55"/>
      <c r="H58" s="10"/>
    </row>
    <row r="59" spans="1:8" ht="18.75" customHeight="1" hidden="1">
      <c r="A59" s="206" t="s">
        <v>36</v>
      </c>
      <c r="B59" s="206"/>
      <c r="C59" s="96">
        <f>E52-F52</f>
        <v>-71615.60999999999</v>
      </c>
      <c r="D59" s="96" t="str">
        <f>D58</f>
        <v>рублей</v>
      </c>
      <c r="E59" s="59"/>
      <c r="F59" s="59"/>
      <c r="G59" s="59"/>
      <c r="H59" s="28"/>
    </row>
  </sheetData>
  <sheetProtection/>
  <mergeCells count="18">
    <mergeCell ref="C56:D56"/>
    <mergeCell ref="A1:G2"/>
    <mergeCell ref="A3:G3"/>
    <mergeCell ref="A4:H5"/>
    <mergeCell ref="F9:F11"/>
    <mergeCell ref="G9:G11"/>
    <mergeCell ref="A55:B55"/>
    <mergeCell ref="A56:B56"/>
    <mergeCell ref="A57:G57"/>
    <mergeCell ref="A58:B58"/>
    <mergeCell ref="A59:B59"/>
    <mergeCell ref="J9:Q12"/>
    <mergeCell ref="R9:X12"/>
    <mergeCell ref="A9:A11"/>
    <mergeCell ref="B9:B11"/>
    <mergeCell ref="C9:D10"/>
    <mergeCell ref="E9:E11"/>
    <mergeCell ref="C55:D5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4" r:id="rId1"/>
  <rowBreaks count="1" manualBreakCount="1">
    <brk id="45" max="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AP137"/>
  <sheetViews>
    <sheetView tabSelected="1" view="pageBreakPreview" zoomScale="75" zoomScaleSheetLayoutView="75" zoomScalePageLayoutView="0" workbookViewId="0" topLeftCell="A28">
      <selection activeCell="A53" sqref="A53:B54"/>
    </sheetView>
  </sheetViews>
  <sheetFormatPr defaultColWidth="9.00390625" defaultRowHeight="12.75"/>
  <cols>
    <col min="1" max="1" width="9.375" style="0" bestFit="1" customWidth="1"/>
    <col min="2" max="2" width="75.625" style="0" customWidth="1"/>
    <col min="3" max="3" width="12.25390625" style="0" customWidth="1"/>
    <col min="4" max="4" width="13.25390625" style="0" customWidth="1"/>
    <col min="5" max="5" width="14.125" style="0" customWidth="1"/>
    <col min="6" max="6" width="15.75390625" style="0" bestFit="1" customWidth="1"/>
    <col min="7" max="7" width="14.00390625" style="0" bestFit="1" customWidth="1"/>
    <col min="8" max="8" width="15.625" style="0" hidden="1" customWidth="1"/>
    <col min="9" max="9" width="13.25390625" style="0" hidden="1" customWidth="1"/>
    <col min="10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35" width="0" style="0" hidden="1" customWidth="1"/>
  </cols>
  <sheetData>
    <row r="1" spans="1:9" ht="18.75">
      <c r="A1" s="193" t="s">
        <v>25</v>
      </c>
      <c r="B1" s="193"/>
      <c r="C1" s="193"/>
      <c r="D1" s="193"/>
      <c r="E1" s="193"/>
      <c r="F1" s="193"/>
      <c r="G1" s="193"/>
      <c r="H1" s="55"/>
      <c r="I1" s="71"/>
    </row>
    <row r="2" spans="1:9" ht="18.75">
      <c r="A2" s="193"/>
      <c r="B2" s="193"/>
      <c r="C2" s="193"/>
      <c r="D2" s="193"/>
      <c r="E2" s="193"/>
      <c r="F2" s="193"/>
      <c r="G2" s="193"/>
      <c r="H2" s="55"/>
      <c r="I2" s="71"/>
    </row>
    <row r="3" spans="1:9" ht="39" customHeight="1">
      <c r="A3" s="193" t="s">
        <v>63</v>
      </c>
      <c r="B3" s="193"/>
      <c r="C3" s="193"/>
      <c r="D3" s="193"/>
      <c r="E3" s="193"/>
      <c r="F3" s="193"/>
      <c r="G3" s="193"/>
      <c r="H3" s="52"/>
      <c r="I3" s="71"/>
    </row>
    <row r="4" spans="1:9" ht="12.75">
      <c r="A4" s="193" t="s">
        <v>110</v>
      </c>
      <c r="B4" s="193"/>
      <c r="C4" s="193"/>
      <c r="D4" s="193"/>
      <c r="E4" s="193"/>
      <c r="F4" s="193"/>
      <c r="G4" s="193"/>
      <c r="H4" s="193"/>
      <c r="I4" s="71"/>
    </row>
    <row r="5" spans="1:9" ht="12.75">
      <c r="A5" s="193"/>
      <c r="B5" s="193"/>
      <c r="C5" s="193"/>
      <c r="D5" s="193"/>
      <c r="E5" s="193"/>
      <c r="F5" s="193"/>
      <c r="G5" s="193"/>
      <c r="H5" s="193"/>
      <c r="I5" s="71"/>
    </row>
    <row r="6" spans="1:9" ht="18.75">
      <c r="A6" s="52"/>
      <c r="B6" s="52"/>
      <c r="C6" s="52"/>
      <c r="D6" s="52"/>
      <c r="E6" s="52"/>
      <c r="F6" s="52"/>
      <c r="G6" s="52"/>
      <c r="H6" s="52"/>
      <c r="I6" s="71"/>
    </row>
    <row r="7" spans="1:9" ht="22.5">
      <c r="A7" s="59"/>
      <c r="B7" s="57" t="s">
        <v>5</v>
      </c>
      <c r="C7" s="52">
        <v>1574.7</v>
      </c>
      <c r="D7" s="52" t="s">
        <v>31</v>
      </c>
      <c r="E7" s="55"/>
      <c r="F7" s="55"/>
      <c r="G7" s="55"/>
      <c r="H7" s="55"/>
      <c r="I7" s="71"/>
    </row>
    <row r="8" spans="1:9" ht="12" customHeight="1">
      <c r="A8" s="59"/>
      <c r="B8" s="52"/>
      <c r="C8" s="52"/>
      <c r="D8" s="52"/>
      <c r="E8" s="52"/>
      <c r="F8" s="52"/>
      <c r="G8" s="52"/>
      <c r="H8" s="52"/>
      <c r="I8" s="71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44" t="s">
        <v>99</v>
      </c>
      <c r="F9" s="247" t="s">
        <v>74</v>
      </c>
      <c r="G9" s="244" t="s">
        <v>686</v>
      </c>
      <c r="H9" s="53"/>
      <c r="I9" s="7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61.5" customHeight="1">
      <c r="A10" s="212"/>
      <c r="B10" s="212"/>
      <c r="C10" s="216"/>
      <c r="D10" s="217"/>
      <c r="E10" s="245"/>
      <c r="F10" s="248"/>
      <c r="G10" s="245"/>
      <c r="H10" s="53"/>
      <c r="I10" s="7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106.5" customHeight="1">
      <c r="A11" s="213"/>
      <c r="B11" s="213"/>
      <c r="C11" s="124" t="s">
        <v>107</v>
      </c>
      <c r="D11" s="124" t="s">
        <v>106</v>
      </c>
      <c r="E11" s="246"/>
      <c r="F11" s="249"/>
      <c r="G11" s="246"/>
      <c r="H11" s="53"/>
      <c r="I11" s="7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37.5">
      <c r="A12" s="42" t="s">
        <v>12</v>
      </c>
      <c r="B12" s="53" t="s">
        <v>20</v>
      </c>
      <c r="C12" s="74"/>
      <c r="D12" s="74"/>
      <c r="E12" s="42"/>
      <c r="F12" s="42"/>
      <c r="G12" s="42"/>
      <c r="H12" s="53"/>
      <c r="I12" s="7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8" ht="18.75">
      <c r="A13" s="42" t="s">
        <v>13</v>
      </c>
      <c r="B13" s="53" t="s">
        <v>10</v>
      </c>
      <c r="C13" s="34">
        <v>1.09</v>
      </c>
      <c r="D13" s="34">
        <v>1.14</v>
      </c>
      <c r="E13" s="42">
        <f aca="true" t="shared" si="0" ref="E13:E18">AJ13*6*AK13</f>
        <v>21069.486</v>
      </c>
      <c r="F13" s="42">
        <f>E13</f>
        <v>21069.486</v>
      </c>
      <c r="G13" s="42">
        <f aca="true" t="shared" si="1" ref="G13:G18">AJ13*12*AL13</f>
        <v>21541.896</v>
      </c>
      <c r="H13" s="53">
        <f aca="true" t="shared" si="2" ref="H13:H18">1.04993597951*C13</f>
        <v>1.1444302176659003</v>
      </c>
      <c r="I13" s="72">
        <f aca="true" t="shared" si="3" ref="I13:I18">1.12035851472*C13</f>
        <v>1.2211907810448</v>
      </c>
      <c r="J13" s="19">
        <f>C7</f>
        <v>1574.7</v>
      </c>
      <c r="K13">
        <v>6</v>
      </c>
      <c r="L13">
        <v>2</v>
      </c>
      <c r="M13">
        <v>4</v>
      </c>
      <c r="N13" s="20">
        <f aca="true" t="shared" si="4" ref="N13:N18">C13*J13*K13</f>
        <v>10298.538</v>
      </c>
      <c r="O13" s="20" t="e">
        <f>J13*#REF!*L13</f>
        <v>#REF!</v>
      </c>
      <c r="P13" s="20">
        <f aca="true" t="shared" si="5" ref="P13:P18">D13*J13*M13</f>
        <v>7180.632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9920.61</v>
      </c>
      <c r="W13">
        <f aca="true" t="shared" si="8" ref="W13:W18">U13*S13*J13</f>
        <v>10298.538000000002</v>
      </c>
      <c r="X13">
        <f aca="true" t="shared" si="9" ref="X13:X18">SUM(V13:W13)</f>
        <v>20219.148</v>
      </c>
      <c r="AJ13" s="69">
        <f>C7</f>
        <v>1574.7</v>
      </c>
      <c r="AK13" s="22">
        <f aca="true" t="shared" si="10" ref="AK13:AK18">C13+D13</f>
        <v>2.23</v>
      </c>
      <c r="AL13" s="34">
        <v>1.14</v>
      </c>
    </row>
    <row r="14" spans="1:38" ht="18.75">
      <c r="A14" s="42" t="s">
        <v>14</v>
      </c>
      <c r="B14" s="53" t="s">
        <v>15</v>
      </c>
      <c r="C14" s="34">
        <v>1.39</v>
      </c>
      <c r="D14" s="34">
        <v>1.46</v>
      </c>
      <c r="E14" s="42">
        <f t="shared" si="0"/>
        <v>26927.37</v>
      </c>
      <c r="F14" s="42">
        <f>E14</f>
        <v>26927.37</v>
      </c>
      <c r="G14" s="42">
        <f t="shared" si="1"/>
        <v>27588.744000000002</v>
      </c>
      <c r="H14" s="53">
        <f t="shared" si="2"/>
        <v>1.4594110115189</v>
      </c>
      <c r="I14" s="72">
        <f t="shared" si="3"/>
        <v>1.5572983354607999</v>
      </c>
      <c r="J14" s="19">
        <f>J13</f>
        <v>1574.7</v>
      </c>
      <c r="K14">
        <v>6</v>
      </c>
      <c r="L14">
        <v>2</v>
      </c>
      <c r="M14">
        <v>4</v>
      </c>
      <c r="N14" s="20">
        <f t="shared" si="4"/>
        <v>13132.998</v>
      </c>
      <c r="O14" s="20" t="e">
        <f>J14*#REF!*L14</f>
        <v>#REF!</v>
      </c>
      <c r="P14" s="20">
        <f t="shared" si="5"/>
        <v>9196.248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12566.106</v>
      </c>
      <c r="W14">
        <f t="shared" si="8"/>
        <v>13132.998</v>
      </c>
      <c r="X14">
        <f t="shared" si="9"/>
        <v>25699.104</v>
      </c>
      <c r="AJ14">
        <f>AJ13</f>
        <v>1574.7</v>
      </c>
      <c r="AK14" s="22">
        <f t="shared" si="10"/>
        <v>2.8499999999999996</v>
      </c>
      <c r="AL14" s="34">
        <v>1.46</v>
      </c>
    </row>
    <row r="15" spans="1:38" ht="18.75">
      <c r="A15" s="42" t="s">
        <v>16</v>
      </c>
      <c r="B15" s="53" t="s">
        <v>7</v>
      </c>
      <c r="C15" s="34"/>
      <c r="D15" s="34"/>
      <c r="E15" s="42"/>
      <c r="F15" s="42"/>
      <c r="G15" s="42"/>
      <c r="H15" s="53"/>
      <c r="I15" s="72"/>
      <c r="J15" s="19"/>
      <c r="N15" s="20"/>
      <c r="O15" s="20"/>
      <c r="P15" s="20"/>
      <c r="Q15" s="21"/>
      <c r="R15" s="22"/>
      <c r="S15" s="22"/>
      <c r="AK15" s="22"/>
      <c r="AL15" s="34"/>
    </row>
    <row r="16" spans="1:38" ht="18.75">
      <c r="A16" s="42" t="s">
        <v>21</v>
      </c>
      <c r="B16" s="53" t="s">
        <v>11</v>
      </c>
      <c r="C16" s="34">
        <v>0.82</v>
      </c>
      <c r="D16" s="34">
        <v>0.58</v>
      </c>
      <c r="E16" s="42">
        <f t="shared" si="0"/>
        <v>13227.48</v>
      </c>
      <c r="F16" s="42">
        <f>E16</f>
        <v>13227.48</v>
      </c>
      <c r="G16" s="42">
        <f t="shared" si="1"/>
        <v>10959.912</v>
      </c>
      <c r="H16" s="53">
        <f t="shared" si="2"/>
        <v>0.8609475031982</v>
      </c>
      <c r="I16" s="72">
        <f t="shared" si="3"/>
        <v>0.9186939820703999</v>
      </c>
      <c r="J16" s="19">
        <f>J15</f>
        <v>0</v>
      </c>
      <c r="K16">
        <v>6</v>
      </c>
      <c r="L16">
        <v>2</v>
      </c>
      <c r="M16">
        <v>4</v>
      </c>
      <c r="N16" s="20">
        <f t="shared" si="4"/>
        <v>0</v>
      </c>
      <c r="O16" s="20" t="e">
        <f>J16*#REF!*L16</f>
        <v>#REF!</v>
      </c>
      <c r="P16" s="20">
        <f t="shared" si="5"/>
        <v>0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0</v>
      </c>
      <c r="W16">
        <f t="shared" si="8"/>
        <v>0</v>
      </c>
      <c r="X16">
        <f t="shared" si="9"/>
        <v>0</v>
      </c>
      <c r="AJ16">
        <f>AJ14</f>
        <v>1574.7</v>
      </c>
      <c r="AK16" s="22">
        <f t="shared" si="10"/>
        <v>1.4</v>
      </c>
      <c r="AL16" s="34">
        <v>0.58</v>
      </c>
    </row>
    <row r="17" spans="1:38" ht="18.75">
      <c r="A17" s="42" t="s">
        <v>22</v>
      </c>
      <c r="B17" s="53" t="s">
        <v>19</v>
      </c>
      <c r="C17" s="34">
        <v>1.24</v>
      </c>
      <c r="D17" s="34">
        <v>1.24</v>
      </c>
      <c r="E17" s="42">
        <f t="shared" si="0"/>
        <v>23431.536</v>
      </c>
      <c r="F17" s="42">
        <f>E17</f>
        <v>23431.536</v>
      </c>
      <c r="G17" s="42">
        <f t="shared" si="1"/>
        <v>23431.536</v>
      </c>
      <c r="H17" s="53">
        <f t="shared" si="2"/>
        <v>1.3019206145924</v>
      </c>
      <c r="I17" s="72">
        <f t="shared" si="3"/>
        <v>1.3892445582528</v>
      </c>
      <c r="J17" s="19">
        <f>J16</f>
        <v>0</v>
      </c>
      <c r="K17">
        <v>6</v>
      </c>
      <c r="L17">
        <v>2</v>
      </c>
      <c r="M17">
        <v>4</v>
      </c>
      <c r="N17" s="20">
        <f t="shared" si="4"/>
        <v>0</v>
      </c>
      <c r="O17" s="20" t="e">
        <f>J17*#REF!*L17</f>
        <v>#REF!</v>
      </c>
      <c r="P17" s="20">
        <f t="shared" si="5"/>
        <v>0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0</v>
      </c>
      <c r="W17">
        <f t="shared" si="8"/>
        <v>0</v>
      </c>
      <c r="X17">
        <f t="shared" si="9"/>
        <v>0</v>
      </c>
      <c r="AJ17">
        <f>AJ16</f>
        <v>1574.7</v>
      </c>
      <c r="AK17" s="22">
        <f t="shared" si="10"/>
        <v>2.48</v>
      </c>
      <c r="AL17" s="34">
        <v>1.24</v>
      </c>
    </row>
    <row r="18" spans="1:38" ht="56.25">
      <c r="A18" s="42" t="s">
        <v>23</v>
      </c>
      <c r="B18" s="53" t="s">
        <v>24</v>
      </c>
      <c r="C18" s="34">
        <v>4.47</v>
      </c>
      <c r="D18" s="34">
        <v>5.18</v>
      </c>
      <c r="E18" s="42">
        <f t="shared" si="0"/>
        <v>91175.12999999999</v>
      </c>
      <c r="F18" s="99">
        <f>F20+F22+F23+F24+F26+F27+F29+F31+F33+F35+F36+F38+F40+F42+F43+F45+F46+F48</f>
        <v>70220.99</v>
      </c>
      <c r="G18" s="99">
        <f t="shared" si="1"/>
        <v>97883.352</v>
      </c>
      <c r="H18" s="53">
        <f t="shared" si="2"/>
        <v>4.6932138284097</v>
      </c>
      <c r="I18" s="72">
        <f t="shared" si="3"/>
        <v>5.008002560798399</v>
      </c>
      <c r="J18" s="19">
        <f>J17</f>
        <v>0</v>
      </c>
      <c r="K18">
        <v>6</v>
      </c>
      <c r="L18">
        <v>2</v>
      </c>
      <c r="M18">
        <v>4</v>
      </c>
      <c r="N18" s="20">
        <f t="shared" si="4"/>
        <v>0</v>
      </c>
      <c r="O18" s="20" t="e">
        <f>J18*#REF!*L18</f>
        <v>#REF!</v>
      </c>
      <c r="P18" s="20">
        <f t="shared" si="5"/>
        <v>0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0</v>
      </c>
      <c r="W18">
        <f t="shared" si="8"/>
        <v>0</v>
      </c>
      <c r="X18">
        <f t="shared" si="9"/>
        <v>0</v>
      </c>
      <c r="AJ18">
        <f>AJ17</f>
        <v>1574.7</v>
      </c>
      <c r="AK18" s="22">
        <f t="shared" si="10"/>
        <v>9.649999999999999</v>
      </c>
      <c r="AL18" s="34">
        <v>5.18</v>
      </c>
    </row>
    <row r="19" spans="1:19" ht="18.75">
      <c r="A19" s="42"/>
      <c r="B19" s="42" t="s">
        <v>75</v>
      </c>
      <c r="C19" s="74"/>
      <c r="D19" s="74"/>
      <c r="E19" s="42"/>
      <c r="F19" s="99"/>
      <c r="G19" s="99"/>
      <c r="H19" s="53"/>
      <c r="I19" s="72"/>
      <c r="J19" s="19"/>
      <c r="N19" s="20"/>
      <c r="O19" s="20"/>
      <c r="P19" s="20"/>
      <c r="Q19" s="21"/>
      <c r="R19" s="22"/>
      <c r="S19" s="22"/>
    </row>
    <row r="20" spans="1:19" ht="18.75">
      <c r="A20" s="42"/>
      <c r="B20" s="53" t="s">
        <v>687</v>
      </c>
      <c r="C20" s="74"/>
      <c r="D20" s="74"/>
      <c r="E20" s="42"/>
      <c r="F20" s="100">
        <v>1644.68</v>
      </c>
      <c r="G20" s="99"/>
      <c r="H20" s="53"/>
      <c r="I20" s="72"/>
      <c r="J20" s="19"/>
      <c r="N20" s="20"/>
      <c r="O20" s="20"/>
      <c r="P20" s="20"/>
      <c r="Q20" s="21"/>
      <c r="R20" s="22"/>
      <c r="S20" s="22"/>
    </row>
    <row r="21" spans="1:19" ht="18.75">
      <c r="A21" s="42"/>
      <c r="B21" s="42" t="s">
        <v>221</v>
      </c>
      <c r="C21" s="74"/>
      <c r="D21" s="74"/>
      <c r="E21" s="42"/>
      <c r="F21" s="100"/>
      <c r="G21" s="99"/>
      <c r="H21" s="53"/>
      <c r="I21" s="72"/>
      <c r="J21" s="19"/>
      <c r="N21" s="20"/>
      <c r="O21" s="20"/>
      <c r="P21" s="20"/>
      <c r="Q21" s="21"/>
      <c r="R21" s="22"/>
      <c r="S21" s="22"/>
    </row>
    <row r="22" spans="1:19" ht="18.75">
      <c r="A22" s="42"/>
      <c r="B22" s="78" t="s">
        <v>688</v>
      </c>
      <c r="C22" s="74"/>
      <c r="D22" s="74"/>
      <c r="E22" s="42"/>
      <c r="F22" s="100">
        <v>5337.64</v>
      </c>
      <c r="G22" s="99"/>
      <c r="H22" s="53"/>
      <c r="I22" s="72"/>
      <c r="J22" s="19"/>
      <c r="N22" s="20"/>
      <c r="O22" s="20"/>
      <c r="P22" s="20"/>
      <c r="Q22" s="21"/>
      <c r="R22" s="22"/>
      <c r="S22" s="22"/>
    </row>
    <row r="23" spans="1:19" ht="18.75">
      <c r="A23" s="42"/>
      <c r="B23" s="53" t="s">
        <v>632</v>
      </c>
      <c r="C23" s="74"/>
      <c r="D23" s="74"/>
      <c r="E23" s="42"/>
      <c r="F23" s="100">
        <v>2353.62</v>
      </c>
      <c r="G23" s="99"/>
      <c r="H23" s="53"/>
      <c r="I23" s="72"/>
      <c r="J23" s="19"/>
      <c r="N23" s="20"/>
      <c r="O23" s="20"/>
      <c r="P23" s="20"/>
      <c r="Q23" s="21"/>
      <c r="R23" s="22"/>
      <c r="S23" s="22"/>
    </row>
    <row r="24" spans="1:19" ht="18.75">
      <c r="A24" s="42"/>
      <c r="B24" s="53" t="s">
        <v>270</v>
      </c>
      <c r="C24" s="74"/>
      <c r="D24" s="74"/>
      <c r="E24" s="42"/>
      <c r="F24" s="100">
        <v>362.32</v>
      </c>
      <c r="G24" s="99"/>
      <c r="H24" s="53"/>
      <c r="I24" s="72"/>
      <c r="J24" s="19"/>
      <c r="N24" s="20"/>
      <c r="O24" s="20"/>
      <c r="P24" s="20"/>
      <c r="Q24" s="21"/>
      <c r="R24" s="22"/>
      <c r="S24" s="22"/>
    </row>
    <row r="25" spans="1:19" ht="18.75">
      <c r="A25" s="42"/>
      <c r="B25" s="42" t="s">
        <v>89</v>
      </c>
      <c r="C25" s="74"/>
      <c r="D25" s="74"/>
      <c r="E25" s="42"/>
      <c r="F25" s="99"/>
      <c r="G25" s="99"/>
      <c r="H25" s="53"/>
      <c r="I25" s="72"/>
      <c r="J25" s="19"/>
      <c r="N25" s="20"/>
      <c r="O25" s="20"/>
      <c r="P25" s="20"/>
      <c r="Q25" s="21"/>
      <c r="R25" s="22"/>
      <c r="S25" s="22"/>
    </row>
    <row r="26" spans="1:19" ht="18.75">
      <c r="A26" s="42"/>
      <c r="B26" s="53" t="s">
        <v>689</v>
      </c>
      <c r="C26" s="74"/>
      <c r="D26" s="74"/>
      <c r="E26" s="42"/>
      <c r="F26" s="99">
        <v>8229.88</v>
      </c>
      <c r="G26" s="99"/>
      <c r="H26" s="53"/>
      <c r="I26" s="72"/>
      <c r="J26" s="19"/>
      <c r="N26" s="20"/>
      <c r="O26" s="20"/>
      <c r="P26" s="20"/>
      <c r="Q26" s="21"/>
      <c r="R26" s="22"/>
      <c r="S26" s="22"/>
    </row>
    <row r="27" spans="1:19" ht="18.75">
      <c r="A27" s="42"/>
      <c r="B27" s="53" t="s">
        <v>214</v>
      </c>
      <c r="C27" s="74"/>
      <c r="D27" s="74"/>
      <c r="E27" s="42"/>
      <c r="F27" s="99">
        <v>1292.21</v>
      </c>
      <c r="G27" s="99"/>
      <c r="H27" s="53"/>
      <c r="I27" s="72"/>
      <c r="J27" s="19"/>
      <c r="N27" s="20"/>
      <c r="O27" s="20"/>
      <c r="P27" s="20"/>
      <c r="Q27" s="21"/>
      <c r="R27" s="22"/>
      <c r="S27" s="22"/>
    </row>
    <row r="28" spans="1:19" ht="18.75">
      <c r="A28" s="42"/>
      <c r="B28" s="42" t="s">
        <v>371</v>
      </c>
      <c r="C28" s="74"/>
      <c r="D28" s="74"/>
      <c r="E28" s="42"/>
      <c r="F28" s="99"/>
      <c r="G28" s="99"/>
      <c r="H28" s="53"/>
      <c r="I28" s="72"/>
      <c r="J28" s="19"/>
      <c r="N28" s="20"/>
      <c r="O28" s="20"/>
      <c r="P28" s="20"/>
      <c r="Q28" s="21"/>
      <c r="R28" s="22"/>
      <c r="S28" s="22"/>
    </row>
    <row r="29" spans="1:19" ht="37.5">
      <c r="A29" s="42"/>
      <c r="B29" s="53" t="s">
        <v>690</v>
      </c>
      <c r="C29" s="74"/>
      <c r="D29" s="74"/>
      <c r="E29" s="42"/>
      <c r="F29" s="99">
        <v>5730.08</v>
      </c>
      <c r="G29" s="99"/>
      <c r="H29" s="53"/>
      <c r="I29" s="72"/>
      <c r="J29" s="19"/>
      <c r="N29" s="20"/>
      <c r="O29" s="20"/>
      <c r="P29" s="20"/>
      <c r="Q29" s="21"/>
      <c r="R29" s="22"/>
      <c r="S29" s="22"/>
    </row>
    <row r="30" spans="1:19" ht="18.75">
      <c r="A30" s="42"/>
      <c r="B30" s="42" t="s">
        <v>91</v>
      </c>
      <c r="C30" s="74"/>
      <c r="D30" s="74"/>
      <c r="E30" s="42"/>
      <c r="F30" s="99"/>
      <c r="G30" s="99"/>
      <c r="H30" s="53"/>
      <c r="I30" s="72"/>
      <c r="J30" s="19"/>
      <c r="N30" s="20"/>
      <c r="O30" s="20"/>
      <c r="P30" s="20"/>
      <c r="Q30" s="21"/>
      <c r="R30" s="22"/>
      <c r="S30" s="22"/>
    </row>
    <row r="31" spans="1:19" ht="18.75">
      <c r="A31" s="42"/>
      <c r="B31" s="53" t="s">
        <v>691</v>
      </c>
      <c r="C31" s="74"/>
      <c r="D31" s="74"/>
      <c r="E31" s="42"/>
      <c r="F31" s="99">
        <v>12901.27</v>
      </c>
      <c r="G31" s="99"/>
      <c r="H31" s="53"/>
      <c r="I31" s="72"/>
      <c r="J31" s="19"/>
      <c r="N31" s="20"/>
      <c r="O31" s="20"/>
      <c r="P31" s="20"/>
      <c r="Q31" s="21"/>
      <c r="R31" s="22"/>
      <c r="S31" s="22"/>
    </row>
    <row r="32" spans="1:19" ht="18.75">
      <c r="A32" s="42"/>
      <c r="B32" s="42" t="s">
        <v>92</v>
      </c>
      <c r="C32" s="74"/>
      <c r="D32" s="74"/>
      <c r="E32" s="42"/>
      <c r="F32" s="99"/>
      <c r="G32" s="99"/>
      <c r="H32" s="53"/>
      <c r="I32" s="72"/>
      <c r="J32" s="19"/>
      <c r="N32" s="20"/>
      <c r="O32" s="20"/>
      <c r="P32" s="20"/>
      <c r="Q32" s="21"/>
      <c r="R32" s="22"/>
      <c r="S32" s="22"/>
    </row>
    <row r="33" spans="1:19" ht="18.75">
      <c r="A33" s="42"/>
      <c r="B33" s="53" t="s">
        <v>692</v>
      </c>
      <c r="C33" s="74"/>
      <c r="D33" s="74"/>
      <c r="E33" s="42"/>
      <c r="F33" s="99">
        <v>4328.13</v>
      </c>
      <c r="G33" s="99"/>
      <c r="H33" s="53"/>
      <c r="I33" s="72"/>
      <c r="J33" s="19"/>
      <c r="N33" s="20"/>
      <c r="O33" s="20"/>
      <c r="P33" s="20"/>
      <c r="Q33" s="21"/>
      <c r="R33" s="22"/>
      <c r="S33" s="22"/>
    </row>
    <row r="34" spans="1:24" ht="18.75">
      <c r="A34" s="42"/>
      <c r="B34" s="42" t="s">
        <v>93</v>
      </c>
      <c r="C34" s="74"/>
      <c r="D34" s="74"/>
      <c r="E34" s="42"/>
      <c r="F34" s="99"/>
      <c r="G34" s="99"/>
      <c r="H34" s="53"/>
      <c r="I34" s="72"/>
      <c r="J34" s="19"/>
      <c r="K34">
        <v>6</v>
      </c>
      <c r="L34">
        <v>2</v>
      </c>
      <c r="M34">
        <v>4</v>
      </c>
      <c r="N34" s="20">
        <f>C34*J34*K34</f>
        <v>0</v>
      </c>
      <c r="O34" s="20" t="e">
        <f>J34*#REF!*L34</f>
        <v>#REF!</v>
      </c>
      <c r="P34" s="20">
        <f>D34*J34*M34</f>
        <v>0</v>
      </c>
      <c r="Q34" s="24"/>
      <c r="R34" s="22"/>
      <c r="V34">
        <f>J34*R34*U34</f>
        <v>0</v>
      </c>
      <c r="W34">
        <f>U34*S34*J34</f>
        <v>0</v>
      </c>
      <c r="X34">
        <f>SUM(V34:W34)</f>
        <v>0</v>
      </c>
    </row>
    <row r="35" spans="1:24" ht="18.75">
      <c r="A35" s="42"/>
      <c r="B35" s="53" t="s">
        <v>693</v>
      </c>
      <c r="C35" s="74"/>
      <c r="D35" s="74"/>
      <c r="E35" s="42"/>
      <c r="F35" s="99">
        <v>7357.82</v>
      </c>
      <c r="G35" s="99"/>
      <c r="H35" s="53"/>
      <c r="I35" s="72"/>
      <c r="J35" s="19"/>
      <c r="K35">
        <v>6</v>
      </c>
      <c r="L35">
        <v>2</v>
      </c>
      <c r="M35">
        <v>4</v>
      </c>
      <c r="N35" s="20">
        <f>C35*J35*K35</f>
        <v>0</v>
      </c>
      <c r="O35" s="20" t="e">
        <f>J35*#REF!*L35</f>
        <v>#REF!</v>
      </c>
      <c r="P35" s="20">
        <f>D35*J35*M35</f>
        <v>0</v>
      </c>
      <c r="Q35" s="24"/>
      <c r="R35" s="22"/>
      <c r="V35">
        <f>J35*R35*U35</f>
        <v>0</v>
      </c>
      <c r="W35">
        <f>U35*S35*J35</f>
        <v>0</v>
      </c>
      <c r="X35">
        <f>SUM(V35:W35)</f>
        <v>0</v>
      </c>
    </row>
    <row r="36" spans="1:18" ht="18.75">
      <c r="A36" s="42"/>
      <c r="B36" s="53" t="s">
        <v>694</v>
      </c>
      <c r="C36" s="74"/>
      <c r="D36" s="74"/>
      <c r="E36" s="42"/>
      <c r="F36" s="99">
        <v>1500.18</v>
      </c>
      <c r="G36" s="99"/>
      <c r="H36" s="53"/>
      <c r="I36" s="72"/>
      <c r="J36" s="19"/>
      <c r="N36" s="20"/>
      <c r="O36" s="20"/>
      <c r="P36" s="20"/>
      <c r="Q36" s="24"/>
      <c r="R36" s="22"/>
    </row>
    <row r="37" spans="1:18" ht="18.75">
      <c r="A37" s="42"/>
      <c r="B37" s="42" t="s">
        <v>94</v>
      </c>
      <c r="C37" s="74"/>
      <c r="D37" s="74"/>
      <c r="E37" s="42"/>
      <c r="F37" s="99"/>
      <c r="G37" s="99"/>
      <c r="H37" s="53"/>
      <c r="I37" s="72"/>
      <c r="J37" s="19"/>
      <c r="N37" s="20"/>
      <c r="O37" s="20"/>
      <c r="P37" s="20"/>
      <c r="Q37" s="24"/>
      <c r="R37" s="22"/>
    </row>
    <row r="38" spans="1:18" ht="18.75">
      <c r="A38" s="42"/>
      <c r="B38" s="53" t="s">
        <v>695</v>
      </c>
      <c r="C38" s="74"/>
      <c r="D38" s="74"/>
      <c r="E38" s="42"/>
      <c r="F38" s="99">
        <v>2330.09</v>
      </c>
      <c r="G38" s="99"/>
      <c r="H38" s="53"/>
      <c r="I38" s="72"/>
      <c r="J38" s="19"/>
      <c r="N38" s="20"/>
      <c r="O38" s="20"/>
      <c r="P38" s="20"/>
      <c r="Q38" s="24"/>
      <c r="R38" s="22"/>
    </row>
    <row r="39" spans="1:18" ht="18.75">
      <c r="A39" s="42"/>
      <c r="B39" s="42" t="s">
        <v>98</v>
      </c>
      <c r="C39" s="74"/>
      <c r="D39" s="74"/>
      <c r="E39" s="42"/>
      <c r="F39" s="99"/>
      <c r="G39" s="99"/>
      <c r="H39" s="53"/>
      <c r="I39" s="72"/>
      <c r="J39" s="19"/>
      <c r="N39" s="20"/>
      <c r="O39" s="20"/>
      <c r="P39" s="20"/>
      <c r="Q39" s="24"/>
      <c r="R39" s="22"/>
    </row>
    <row r="40" spans="1:18" ht="18.75">
      <c r="A40" s="42"/>
      <c r="B40" s="53" t="s">
        <v>696</v>
      </c>
      <c r="C40" s="74"/>
      <c r="D40" s="74"/>
      <c r="E40" s="42"/>
      <c r="F40" s="99">
        <v>2902.78</v>
      </c>
      <c r="G40" s="99"/>
      <c r="H40" s="53"/>
      <c r="I40" s="72"/>
      <c r="J40" s="19"/>
      <c r="N40" s="20"/>
      <c r="O40" s="20"/>
      <c r="P40" s="20"/>
      <c r="Q40" s="24"/>
      <c r="R40" s="22"/>
    </row>
    <row r="41" spans="1:18" ht="18.75">
      <c r="A41" s="42"/>
      <c r="B41" s="42" t="s">
        <v>95</v>
      </c>
      <c r="C41" s="74"/>
      <c r="D41" s="74"/>
      <c r="E41" s="42"/>
      <c r="F41" s="99"/>
      <c r="G41" s="99"/>
      <c r="H41" s="53"/>
      <c r="I41" s="72"/>
      <c r="J41" s="19"/>
      <c r="N41" s="20"/>
      <c r="O41" s="20"/>
      <c r="P41" s="20"/>
      <c r="Q41" s="24"/>
      <c r="R41" s="22"/>
    </row>
    <row r="42" spans="1:18" ht="37.5">
      <c r="A42" s="42"/>
      <c r="B42" s="53" t="s">
        <v>697</v>
      </c>
      <c r="C42" s="74"/>
      <c r="D42" s="74"/>
      <c r="E42" s="42"/>
      <c r="F42" s="99">
        <v>5284.38</v>
      </c>
      <c r="G42" s="99"/>
      <c r="H42" s="53"/>
      <c r="I42" s="72"/>
      <c r="J42" s="19"/>
      <c r="N42" s="20"/>
      <c r="O42" s="20"/>
      <c r="P42" s="20"/>
      <c r="Q42" s="24"/>
      <c r="R42" s="22"/>
    </row>
    <row r="43" spans="1:18" ht="18.75">
      <c r="A43" s="42"/>
      <c r="B43" s="53" t="s">
        <v>698</v>
      </c>
      <c r="C43" s="74"/>
      <c r="D43" s="74"/>
      <c r="E43" s="42"/>
      <c r="F43" s="99">
        <v>1471.18</v>
      </c>
      <c r="G43" s="99"/>
      <c r="H43" s="53"/>
      <c r="I43" s="72"/>
      <c r="J43" s="19"/>
      <c r="N43" s="20"/>
      <c r="O43" s="20"/>
      <c r="P43" s="20"/>
      <c r="Q43" s="24"/>
      <c r="R43" s="22"/>
    </row>
    <row r="44" spans="1:18" ht="18.75">
      <c r="A44" s="42"/>
      <c r="B44" s="42" t="s">
        <v>96</v>
      </c>
      <c r="C44" s="74"/>
      <c r="D44" s="74"/>
      <c r="E44" s="42"/>
      <c r="F44" s="99"/>
      <c r="G44" s="99"/>
      <c r="H44" s="53"/>
      <c r="I44" s="72"/>
      <c r="J44" s="19"/>
      <c r="N44" s="20"/>
      <c r="O44" s="20"/>
      <c r="P44" s="20"/>
      <c r="Q44" s="24"/>
      <c r="R44" s="22"/>
    </row>
    <row r="45" spans="1:18" ht="21.75" customHeight="1">
      <c r="A45" s="42"/>
      <c r="B45" s="53" t="s">
        <v>699</v>
      </c>
      <c r="C45" s="74"/>
      <c r="D45" s="74"/>
      <c r="E45" s="42"/>
      <c r="F45" s="99">
        <v>2398.54</v>
      </c>
      <c r="G45" s="99"/>
      <c r="H45" s="53"/>
      <c r="I45" s="72"/>
      <c r="J45" s="19"/>
      <c r="N45" s="20"/>
      <c r="O45" s="20"/>
      <c r="P45" s="20"/>
      <c r="Q45" s="24"/>
      <c r="R45" s="22"/>
    </row>
    <row r="46" spans="1:18" ht="18.75">
      <c r="A46" s="42"/>
      <c r="B46" s="53" t="s">
        <v>621</v>
      </c>
      <c r="C46" s="74"/>
      <c r="D46" s="74"/>
      <c r="E46" s="42"/>
      <c r="F46" s="99">
        <v>311.31</v>
      </c>
      <c r="G46" s="99"/>
      <c r="H46" s="53"/>
      <c r="I46" s="72"/>
      <c r="J46" s="19"/>
      <c r="N46" s="20"/>
      <c r="O46" s="20"/>
      <c r="P46" s="20"/>
      <c r="Q46" s="24"/>
      <c r="R46" s="22"/>
    </row>
    <row r="47" spans="1:18" ht="18.75">
      <c r="A47" s="42"/>
      <c r="B47" s="42" t="s">
        <v>97</v>
      </c>
      <c r="C47" s="74"/>
      <c r="D47" s="74"/>
      <c r="E47" s="42"/>
      <c r="F47" s="99"/>
      <c r="G47" s="99"/>
      <c r="H47" s="53"/>
      <c r="I47" s="72"/>
      <c r="J47" s="19"/>
      <c r="N47" s="20"/>
      <c r="O47" s="20"/>
      <c r="P47" s="20"/>
      <c r="Q47" s="24"/>
      <c r="R47" s="22"/>
    </row>
    <row r="48" spans="1:18" ht="18.75">
      <c r="A48" s="42"/>
      <c r="B48" s="53" t="s">
        <v>700</v>
      </c>
      <c r="C48" s="74"/>
      <c r="D48" s="74"/>
      <c r="E48" s="42"/>
      <c r="F48" s="99">
        <v>4484.88</v>
      </c>
      <c r="G48" s="99"/>
      <c r="H48" s="53"/>
      <c r="I48" s="72"/>
      <c r="J48" s="19"/>
      <c r="N48" s="20"/>
      <c r="O48" s="20"/>
      <c r="P48" s="20"/>
      <c r="Q48" s="24"/>
      <c r="R48" s="22"/>
    </row>
    <row r="49" spans="1:18" ht="37.5">
      <c r="A49" s="42"/>
      <c r="B49" s="14" t="s">
        <v>943</v>
      </c>
      <c r="C49" s="74"/>
      <c r="D49" s="74"/>
      <c r="E49" s="42"/>
      <c r="F49" s="99"/>
      <c r="G49" s="99"/>
      <c r="H49" s="53"/>
      <c r="I49" s="72"/>
      <c r="J49" s="19"/>
      <c r="N49" s="20"/>
      <c r="O49" s="20"/>
      <c r="P49" s="20"/>
      <c r="Q49" s="24"/>
      <c r="R49" s="22"/>
    </row>
    <row r="50" spans="1:24" ht="18.75">
      <c r="A50" s="53"/>
      <c r="B50" s="53" t="s">
        <v>9</v>
      </c>
      <c r="C50" s="74">
        <f>SUM(C13:C35)</f>
        <v>9.01</v>
      </c>
      <c r="D50" s="74">
        <f>SUM(D13:D35)</f>
        <v>9.6</v>
      </c>
      <c r="E50" s="42">
        <f>SUM(E13:E35)-0.16</f>
        <v>175830.84199999998</v>
      </c>
      <c r="F50" s="99">
        <f>F13+F14+F15+F16+F17+F18</f>
        <v>154876.86200000002</v>
      </c>
      <c r="G50" s="99">
        <f>G13+G14+G15+G16+G17+G18</f>
        <v>181405.44</v>
      </c>
      <c r="H50" s="53">
        <f>1.04993597951*C50</f>
        <v>9.4599231753851</v>
      </c>
      <c r="I50" s="72">
        <f>1.12035851472*C50</f>
        <v>10.094430217627199</v>
      </c>
      <c r="J50" s="19">
        <f>J18</f>
        <v>0</v>
      </c>
      <c r="N50" s="20"/>
      <c r="Q50" s="24"/>
      <c r="R50" s="22">
        <f>SUM(R13:R35)</f>
        <v>8.620000000000001</v>
      </c>
      <c r="S50" s="22">
        <f>SUM(S13:S35)</f>
        <v>9.16</v>
      </c>
      <c r="T50" s="22"/>
      <c r="U50" s="22"/>
      <c r="V50" s="22">
        <f>SUM(V13:V35)</f>
        <v>22486.716</v>
      </c>
      <c r="W50" s="22">
        <f>SUM(W13:W35)</f>
        <v>23431.536</v>
      </c>
      <c r="X50" s="22">
        <f>SUM(X13:X35)</f>
        <v>45918.252</v>
      </c>
    </row>
    <row r="51" spans="1:42" ht="20.25">
      <c r="A51" s="13">
        <v>5</v>
      </c>
      <c r="B51" s="54" t="s">
        <v>26</v>
      </c>
      <c r="C51" s="127">
        <v>1.58</v>
      </c>
      <c r="D51" s="127">
        <v>1.85</v>
      </c>
      <c r="E51" s="128">
        <f>AN51*6*AO51</f>
        <v>32407.326000000005</v>
      </c>
      <c r="F51" s="129">
        <f>E51</f>
        <v>32407.326000000005</v>
      </c>
      <c r="G51" s="129">
        <f>AJ51*12*AK51</f>
        <v>35714.196</v>
      </c>
      <c r="H51" s="69" t="e">
        <f>#REF!</f>
        <v>#REF!</v>
      </c>
      <c r="I51" s="22">
        <f>C51+D51</f>
        <v>3.43</v>
      </c>
      <c r="J51" s="34">
        <v>3.43</v>
      </c>
      <c r="K51">
        <v>10</v>
      </c>
      <c r="L51">
        <v>2</v>
      </c>
      <c r="N51" s="20">
        <f>C51*J51*K51</f>
        <v>54.194</v>
      </c>
      <c r="O51" s="20" t="e">
        <f>#REF!*J51*L51</f>
        <v>#REF!</v>
      </c>
      <c r="P51" s="20" t="e">
        <f>SUM(N51:O51)</f>
        <v>#REF!</v>
      </c>
      <c r="Q51" s="21"/>
      <c r="R51" s="22">
        <v>1.47</v>
      </c>
      <c r="S51">
        <v>1.58</v>
      </c>
      <c r="T51">
        <v>6</v>
      </c>
      <c r="U51">
        <v>6</v>
      </c>
      <c r="V51">
        <f>R51*J51*T51</f>
        <v>30.2526</v>
      </c>
      <c r="W51">
        <f>S51*U51*J51</f>
        <v>32.516400000000004</v>
      </c>
      <c r="X51">
        <f>SUM(V51:W51)</f>
        <v>62.769000000000005</v>
      </c>
      <c r="AD51" t="str">
        <f>C11</f>
        <v>с 1.01-31.06</v>
      </c>
      <c r="AE51">
        <v>3.05</v>
      </c>
      <c r="AF51">
        <v>3.43</v>
      </c>
      <c r="AJ51">
        <v>1574.7</v>
      </c>
      <c r="AK51">
        <v>1.89</v>
      </c>
      <c r="AN51" s="69">
        <f>C7</f>
        <v>1574.7</v>
      </c>
      <c r="AO51">
        <f>C51+D51</f>
        <v>3.43</v>
      </c>
      <c r="AP51">
        <v>3.43</v>
      </c>
    </row>
    <row r="52" spans="1:17" ht="18.75">
      <c r="A52" s="55"/>
      <c r="B52" s="56"/>
      <c r="C52" s="55"/>
      <c r="D52" s="55"/>
      <c r="E52" s="55"/>
      <c r="F52" s="55"/>
      <c r="G52" s="55"/>
      <c r="H52" s="55"/>
      <c r="I52" s="71"/>
      <c r="Q52" s="24"/>
    </row>
    <row r="53" spans="1:17" ht="18.75" customHeight="1">
      <c r="A53" s="179" t="s">
        <v>941</v>
      </c>
      <c r="B53" s="179"/>
      <c r="C53" s="193">
        <v>113158.86</v>
      </c>
      <c r="D53" s="193"/>
      <c r="E53" s="55" t="s">
        <v>18</v>
      </c>
      <c r="F53" s="55"/>
      <c r="G53" s="55"/>
      <c r="H53" s="55"/>
      <c r="I53" s="71"/>
      <c r="Q53" s="24"/>
    </row>
    <row r="54" spans="1:17" ht="18.75" customHeight="1">
      <c r="A54" s="179" t="s">
        <v>942</v>
      </c>
      <c r="B54" s="179"/>
      <c r="C54" s="193">
        <v>100183.18</v>
      </c>
      <c r="D54" s="193"/>
      <c r="E54" s="55" t="s">
        <v>18</v>
      </c>
      <c r="F54" s="55"/>
      <c r="G54" s="55"/>
      <c r="H54" s="55"/>
      <c r="I54" s="71"/>
      <c r="Q54" s="24"/>
    </row>
    <row r="55" spans="1:9" ht="18.75">
      <c r="A55" s="207" t="s">
        <v>17</v>
      </c>
      <c r="B55" s="207"/>
      <c r="C55" s="207"/>
      <c r="D55" s="207"/>
      <c r="E55" s="207"/>
      <c r="F55" s="207"/>
      <c r="G55" s="207"/>
      <c r="H55" s="55"/>
      <c r="I55" s="71"/>
    </row>
    <row r="56" spans="1:9" ht="18.75" customHeight="1" hidden="1">
      <c r="A56" s="206" t="s">
        <v>35</v>
      </c>
      <c r="B56" s="206"/>
      <c r="C56" s="52" t="e">
        <f>C53-#REF!</f>
        <v>#REF!</v>
      </c>
      <c r="D56" s="55" t="s">
        <v>18</v>
      </c>
      <c r="E56" s="55"/>
      <c r="F56" s="55"/>
      <c r="G56" s="55"/>
      <c r="H56" s="55"/>
      <c r="I56" s="71"/>
    </row>
    <row r="57" spans="1:9" ht="18.75" customHeight="1" hidden="1">
      <c r="A57" s="206" t="s">
        <v>36</v>
      </c>
      <c r="B57" s="206"/>
      <c r="C57" s="96">
        <f>E50-F50</f>
        <v>20953.979999999952</v>
      </c>
      <c r="D57" s="121" t="str">
        <f>D56</f>
        <v>рублей</v>
      </c>
      <c r="E57" s="71"/>
      <c r="F57" s="71"/>
      <c r="G57" s="71"/>
      <c r="H57" s="55"/>
      <c r="I57" s="71"/>
    </row>
    <row r="58" spans="1:9" ht="12.75">
      <c r="A58" s="71"/>
      <c r="B58" s="71"/>
      <c r="C58" s="71"/>
      <c r="D58" s="71"/>
      <c r="E58" s="71"/>
      <c r="F58" s="71"/>
      <c r="G58" s="71"/>
      <c r="H58" s="71"/>
      <c r="I58" s="71"/>
    </row>
    <row r="59" spans="1:9" ht="12.75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2.75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2.75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2.75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2.75">
      <c r="A63" s="71"/>
      <c r="B63" s="71"/>
      <c r="C63" s="71"/>
      <c r="D63" s="71"/>
      <c r="E63" s="71"/>
      <c r="F63" s="71"/>
      <c r="G63" s="71"/>
      <c r="H63" s="71"/>
      <c r="I63" s="71"/>
    </row>
    <row r="64" spans="1:9" ht="12.75">
      <c r="A64" s="71"/>
      <c r="B64" s="71"/>
      <c r="C64" s="71"/>
      <c r="D64" s="71"/>
      <c r="E64" s="71"/>
      <c r="F64" s="71"/>
      <c r="G64" s="71"/>
      <c r="H64" s="71"/>
      <c r="I64" s="71"/>
    </row>
    <row r="65" spans="1:9" ht="12.75">
      <c r="A65" s="71"/>
      <c r="B65" s="71"/>
      <c r="C65" s="71"/>
      <c r="D65" s="71"/>
      <c r="E65" s="71"/>
      <c r="F65" s="71"/>
      <c r="G65" s="71"/>
      <c r="H65" s="71"/>
      <c r="I65" s="71"/>
    </row>
    <row r="66" spans="1:9" ht="12.75">
      <c r="A66" s="71"/>
      <c r="B66" s="71"/>
      <c r="C66" s="71"/>
      <c r="D66" s="71"/>
      <c r="E66" s="71"/>
      <c r="F66" s="71"/>
      <c r="G66" s="71"/>
      <c r="H66" s="71"/>
      <c r="I66" s="71"/>
    </row>
    <row r="67" spans="1:9" ht="12.75">
      <c r="A67" s="71"/>
      <c r="B67" s="71"/>
      <c r="C67" s="71"/>
      <c r="D67" s="71"/>
      <c r="E67" s="71"/>
      <c r="F67" s="71"/>
      <c r="G67" s="71"/>
      <c r="H67" s="71"/>
      <c r="I67" s="71"/>
    </row>
    <row r="68" spans="1:9" ht="12.75">
      <c r="A68" s="71"/>
      <c r="B68" s="71"/>
      <c r="C68" s="71"/>
      <c r="D68" s="71"/>
      <c r="E68" s="71"/>
      <c r="F68" s="71"/>
      <c r="G68" s="71"/>
      <c r="H68" s="71"/>
      <c r="I68" s="71"/>
    </row>
    <row r="69" spans="1:9" ht="12.75">
      <c r="A69" s="71"/>
      <c r="B69" s="71"/>
      <c r="C69" s="71"/>
      <c r="D69" s="71"/>
      <c r="E69" s="71"/>
      <c r="F69" s="71"/>
      <c r="G69" s="71"/>
      <c r="H69" s="71"/>
      <c r="I69" s="71"/>
    </row>
    <row r="70" spans="1:9" ht="12.75">
      <c r="A70" s="71"/>
      <c r="B70" s="71"/>
      <c r="C70" s="71"/>
      <c r="D70" s="71"/>
      <c r="E70" s="71"/>
      <c r="F70" s="71"/>
      <c r="G70" s="71"/>
      <c r="H70" s="71"/>
      <c r="I70" s="71"/>
    </row>
    <row r="71" spans="1:9" ht="12.75">
      <c r="A71" s="71"/>
      <c r="B71" s="71"/>
      <c r="C71" s="71"/>
      <c r="D71" s="71"/>
      <c r="E71" s="71"/>
      <c r="F71" s="71"/>
      <c r="G71" s="71"/>
      <c r="H71" s="71"/>
      <c r="I71" s="71"/>
    </row>
    <row r="72" spans="1:9" ht="12.75">
      <c r="A72" s="71"/>
      <c r="B72" s="71"/>
      <c r="C72" s="71"/>
      <c r="D72" s="71"/>
      <c r="E72" s="71"/>
      <c r="F72" s="71"/>
      <c r="G72" s="71"/>
      <c r="H72" s="71"/>
      <c r="I72" s="71"/>
    </row>
    <row r="73" spans="1:9" ht="12.75">
      <c r="A73" s="71"/>
      <c r="B73" s="71"/>
      <c r="C73" s="71"/>
      <c r="D73" s="71"/>
      <c r="E73" s="71"/>
      <c r="F73" s="71"/>
      <c r="G73" s="71"/>
      <c r="H73" s="71"/>
      <c r="I73" s="71"/>
    </row>
    <row r="74" spans="1:9" ht="12.75">
      <c r="A74" s="71"/>
      <c r="B74" s="71"/>
      <c r="C74" s="71"/>
      <c r="D74" s="71"/>
      <c r="E74" s="71"/>
      <c r="F74" s="71"/>
      <c r="G74" s="71"/>
      <c r="H74" s="71"/>
      <c r="I74" s="71"/>
    </row>
    <row r="75" spans="1:9" ht="12.75">
      <c r="A75" s="71"/>
      <c r="B75" s="71"/>
      <c r="C75" s="71"/>
      <c r="D75" s="71"/>
      <c r="E75" s="71"/>
      <c r="F75" s="71"/>
      <c r="G75" s="71"/>
      <c r="H75" s="71"/>
      <c r="I75" s="71"/>
    </row>
    <row r="76" spans="1:9" ht="12.75">
      <c r="A76" s="71"/>
      <c r="B76" s="71"/>
      <c r="C76" s="71"/>
      <c r="D76" s="71"/>
      <c r="E76" s="71"/>
      <c r="F76" s="71"/>
      <c r="G76" s="71"/>
      <c r="H76" s="71"/>
      <c r="I76" s="71"/>
    </row>
    <row r="77" spans="1:9" ht="12.75">
      <c r="A77" s="71"/>
      <c r="B77" s="71"/>
      <c r="C77" s="71"/>
      <c r="D77" s="71"/>
      <c r="E77" s="71"/>
      <c r="F77" s="71"/>
      <c r="G77" s="71"/>
      <c r="H77" s="71"/>
      <c r="I77" s="71"/>
    </row>
    <row r="78" spans="1:9" ht="12.75">
      <c r="A78" s="71"/>
      <c r="B78" s="71"/>
      <c r="C78" s="71"/>
      <c r="D78" s="71"/>
      <c r="E78" s="71"/>
      <c r="F78" s="71"/>
      <c r="G78" s="71"/>
      <c r="H78" s="71"/>
      <c r="I78" s="71"/>
    </row>
    <row r="79" spans="1:9" ht="12.75">
      <c r="A79" s="71"/>
      <c r="B79" s="71"/>
      <c r="C79" s="71"/>
      <c r="D79" s="71"/>
      <c r="E79" s="71"/>
      <c r="F79" s="71"/>
      <c r="G79" s="71"/>
      <c r="H79" s="71"/>
      <c r="I79" s="71"/>
    </row>
    <row r="80" spans="1:9" ht="12.75">
      <c r="A80" s="71"/>
      <c r="B80" s="71"/>
      <c r="C80" s="71"/>
      <c r="D80" s="71"/>
      <c r="E80" s="71"/>
      <c r="F80" s="71"/>
      <c r="G80" s="71"/>
      <c r="H80" s="71"/>
      <c r="I80" s="71"/>
    </row>
    <row r="81" spans="1:9" ht="12.75">
      <c r="A81" s="71"/>
      <c r="B81" s="71"/>
      <c r="C81" s="71"/>
      <c r="D81" s="71"/>
      <c r="E81" s="71"/>
      <c r="F81" s="71"/>
      <c r="G81" s="71"/>
      <c r="H81" s="71"/>
      <c r="I81" s="71"/>
    </row>
    <row r="82" spans="1:9" ht="12.75">
      <c r="A82" s="71"/>
      <c r="B82" s="71"/>
      <c r="C82" s="71"/>
      <c r="D82" s="71"/>
      <c r="E82" s="71"/>
      <c r="F82" s="71"/>
      <c r="G82" s="71"/>
      <c r="H82" s="71"/>
      <c r="I82" s="71"/>
    </row>
    <row r="83" spans="1:9" ht="12.75">
      <c r="A83" s="71"/>
      <c r="B83" s="71"/>
      <c r="C83" s="71"/>
      <c r="D83" s="71"/>
      <c r="E83" s="71"/>
      <c r="F83" s="71"/>
      <c r="G83" s="71"/>
      <c r="H83" s="71"/>
      <c r="I83" s="71"/>
    </row>
    <row r="84" spans="1:9" ht="12.75">
      <c r="A84" s="71"/>
      <c r="B84" s="71"/>
      <c r="C84" s="71"/>
      <c r="D84" s="71"/>
      <c r="E84" s="71"/>
      <c r="F84" s="71"/>
      <c r="G84" s="71"/>
      <c r="H84" s="71"/>
      <c r="I84" s="71"/>
    </row>
    <row r="85" spans="1:9" ht="12.75">
      <c r="A85" s="71"/>
      <c r="B85" s="71"/>
      <c r="C85" s="71"/>
      <c r="D85" s="71"/>
      <c r="E85" s="71"/>
      <c r="F85" s="71"/>
      <c r="G85" s="71"/>
      <c r="H85" s="71"/>
      <c r="I85" s="71"/>
    </row>
    <row r="86" spans="1:9" ht="12.75">
      <c r="A86" s="71"/>
      <c r="B86" s="71"/>
      <c r="C86" s="71"/>
      <c r="D86" s="71"/>
      <c r="E86" s="71"/>
      <c r="F86" s="71"/>
      <c r="G86" s="71"/>
      <c r="H86" s="71"/>
      <c r="I86" s="71"/>
    </row>
    <row r="87" spans="1:9" ht="12.75">
      <c r="A87" s="71"/>
      <c r="B87" s="71"/>
      <c r="C87" s="71"/>
      <c r="D87" s="71"/>
      <c r="E87" s="71"/>
      <c r="F87" s="71"/>
      <c r="G87" s="71"/>
      <c r="H87" s="71"/>
      <c r="I87" s="71"/>
    </row>
    <row r="88" spans="1:9" ht="12.75">
      <c r="A88" s="71"/>
      <c r="B88" s="71"/>
      <c r="C88" s="71"/>
      <c r="D88" s="71"/>
      <c r="E88" s="71"/>
      <c r="F88" s="71"/>
      <c r="G88" s="71"/>
      <c r="H88" s="71"/>
      <c r="I88" s="71"/>
    </row>
    <row r="89" spans="1:9" ht="12.75">
      <c r="A89" s="71"/>
      <c r="B89" s="71"/>
      <c r="C89" s="71"/>
      <c r="D89" s="71"/>
      <c r="E89" s="71"/>
      <c r="F89" s="71"/>
      <c r="G89" s="71"/>
      <c r="H89" s="71"/>
      <c r="I89" s="71"/>
    </row>
    <row r="90" spans="1:9" ht="12.75">
      <c r="A90" s="71"/>
      <c r="B90" s="71"/>
      <c r="C90" s="71"/>
      <c r="D90" s="71"/>
      <c r="E90" s="71"/>
      <c r="F90" s="71"/>
      <c r="G90" s="71"/>
      <c r="H90" s="71"/>
      <c r="I90" s="71"/>
    </row>
    <row r="91" spans="1:9" ht="12.75">
      <c r="A91" s="71"/>
      <c r="B91" s="71"/>
      <c r="C91" s="71"/>
      <c r="D91" s="71"/>
      <c r="E91" s="71"/>
      <c r="F91" s="71"/>
      <c r="G91" s="71"/>
      <c r="H91" s="71"/>
      <c r="I91" s="71"/>
    </row>
    <row r="92" spans="1:9" ht="12.75">
      <c r="A92" s="71"/>
      <c r="B92" s="71"/>
      <c r="C92" s="71"/>
      <c r="D92" s="71"/>
      <c r="E92" s="71"/>
      <c r="F92" s="71"/>
      <c r="G92" s="71"/>
      <c r="H92" s="71"/>
      <c r="I92" s="71"/>
    </row>
    <row r="93" spans="1:9" ht="12.75">
      <c r="A93" s="71"/>
      <c r="B93" s="71"/>
      <c r="C93" s="71"/>
      <c r="D93" s="71"/>
      <c r="E93" s="71"/>
      <c r="F93" s="71"/>
      <c r="G93" s="71"/>
      <c r="H93" s="71"/>
      <c r="I93" s="71"/>
    </row>
    <row r="94" spans="1:9" ht="12.75">
      <c r="A94" s="71"/>
      <c r="B94" s="71"/>
      <c r="C94" s="71"/>
      <c r="D94" s="71"/>
      <c r="E94" s="71"/>
      <c r="F94" s="71"/>
      <c r="G94" s="71"/>
      <c r="H94" s="71"/>
      <c r="I94" s="71"/>
    </row>
    <row r="95" spans="1:9" ht="12.75">
      <c r="A95" s="71"/>
      <c r="B95" s="71"/>
      <c r="C95" s="71"/>
      <c r="D95" s="71"/>
      <c r="E95" s="71"/>
      <c r="F95" s="71"/>
      <c r="G95" s="71"/>
      <c r="H95" s="71"/>
      <c r="I95" s="71"/>
    </row>
    <row r="96" spans="1:9" ht="12.75">
      <c r="A96" s="71"/>
      <c r="B96" s="71"/>
      <c r="C96" s="71"/>
      <c r="D96" s="71"/>
      <c r="E96" s="71"/>
      <c r="F96" s="71"/>
      <c r="G96" s="71"/>
      <c r="H96" s="71"/>
      <c r="I96" s="71"/>
    </row>
    <row r="97" spans="1:9" ht="12.75">
      <c r="A97" s="71"/>
      <c r="B97" s="71"/>
      <c r="C97" s="71"/>
      <c r="D97" s="71"/>
      <c r="E97" s="71"/>
      <c r="F97" s="71"/>
      <c r="G97" s="71"/>
      <c r="H97" s="71"/>
      <c r="I97" s="71"/>
    </row>
    <row r="98" spans="1:9" ht="12.75">
      <c r="A98" s="71"/>
      <c r="B98" s="71"/>
      <c r="C98" s="71"/>
      <c r="D98" s="71"/>
      <c r="E98" s="71"/>
      <c r="F98" s="71"/>
      <c r="G98" s="71"/>
      <c r="H98" s="71"/>
      <c r="I98" s="71"/>
    </row>
    <row r="99" spans="1:9" ht="12.75">
      <c r="A99" s="71"/>
      <c r="B99" s="71"/>
      <c r="C99" s="71"/>
      <c r="D99" s="71"/>
      <c r="E99" s="71"/>
      <c r="F99" s="71"/>
      <c r="G99" s="71"/>
      <c r="H99" s="71"/>
      <c r="I99" s="71"/>
    </row>
    <row r="100" spans="1:9" ht="12.75">
      <c r="A100" s="71"/>
      <c r="B100" s="71"/>
      <c r="C100" s="71"/>
      <c r="D100" s="71"/>
      <c r="E100" s="71"/>
      <c r="F100" s="71"/>
      <c r="G100" s="71"/>
      <c r="H100" s="71"/>
      <c r="I100" s="71"/>
    </row>
    <row r="101" spans="1:9" ht="12.75">
      <c r="A101" s="71"/>
      <c r="B101" s="71"/>
      <c r="C101" s="71"/>
      <c r="D101" s="71"/>
      <c r="E101" s="71"/>
      <c r="F101" s="71"/>
      <c r="G101" s="71"/>
      <c r="H101" s="71"/>
      <c r="I101" s="71"/>
    </row>
    <row r="102" spans="1:9" ht="12.75">
      <c r="A102" s="71"/>
      <c r="B102" s="71"/>
      <c r="C102" s="71"/>
      <c r="D102" s="71"/>
      <c r="E102" s="71"/>
      <c r="F102" s="71"/>
      <c r="G102" s="71"/>
      <c r="H102" s="71"/>
      <c r="I102" s="71"/>
    </row>
    <row r="103" spans="1:9" ht="12.75">
      <c r="A103" s="71"/>
      <c r="B103" s="71"/>
      <c r="C103" s="71"/>
      <c r="D103" s="71"/>
      <c r="E103" s="71"/>
      <c r="F103" s="71"/>
      <c r="G103" s="71"/>
      <c r="H103" s="71"/>
      <c r="I103" s="71"/>
    </row>
    <row r="104" spans="1:9" ht="12.75">
      <c r="A104" s="71"/>
      <c r="B104" s="71"/>
      <c r="C104" s="71"/>
      <c r="D104" s="71"/>
      <c r="E104" s="71"/>
      <c r="F104" s="71"/>
      <c r="G104" s="71"/>
      <c r="H104" s="71"/>
      <c r="I104" s="71"/>
    </row>
    <row r="105" spans="1:9" ht="12.75">
      <c r="A105" s="71"/>
      <c r="B105" s="71"/>
      <c r="C105" s="71"/>
      <c r="D105" s="71"/>
      <c r="E105" s="71"/>
      <c r="F105" s="71"/>
      <c r="G105" s="71"/>
      <c r="H105" s="71"/>
      <c r="I105" s="71"/>
    </row>
    <row r="106" spans="1:9" ht="12.75">
      <c r="A106" s="71"/>
      <c r="B106" s="71"/>
      <c r="C106" s="71"/>
      <c r="D106" s="71"/>
      <c r="E106" s="71"/>
      <c r="F106" s="71"/>
      <c r="G106" s="71"/>
      <c r="H106" s="71"/>
      <c r="I106" s="71"/>
    </row>
    <row r="107" spans="1:9" ht="12.75">
      <c r="A107" s="71"/>
      <c r="B107" s="71"/>
      <c r="C107" s="71"/>
      <c r="D107" s="71"/>
      <c r="E107" s="71"/>
      <c r="F107" s="71"/>
      <c r="G107" s="71"/>
      <c r="H107" s="71"/>
      <c r="I107" s="71"/>
    </row>
    <row r="108" spans="1:9" ht="12.75">
      <c r="A108" s="71"/>
      <c r="B108" s="71"/>
      <c r="C108" s="71"/>
      <c r="D108" s="71"/>
      <c r="E108" s="71"/>
      <c r="F108" s="71"/>
      <c r="G108" s="71"/>
      <c r="H108" s="71"/>
      <c r="I108" s="71"/>
    </row>
    <row r="109" spans="1:9" ht="12.75">
      <c r="A109" s="71"/>
      <c r="B109" s="71"/>
      <c r="C109" s="71"/>
      <c r="D109" s="71"/>
      <c r="E109" s="71"/>
      <c r="F109" s="71"/>
      <c r="G109" s="71"/>
      <c r="H109" s="71"/>
      <c r="I109" s="71"/>
    </row>
    <row r="110" spans="1:9" ht="12.75">
      <c r="A110" s="71"/>
      <c r="B110" s="71"/>
      <c r="C110" s="71"/>
      <c r="D110" s="71"/>
      <c r="E110" s="71"/>
      <c r="F110" s="71"/>
      <c r="G110" s="71"/>
      <c r="H110" s="71"/>
      <c r="I110" s="71"/>
    </row>
    <row r="111" spans="1:9" ht="12.75">
      <c r="A111" s="71"/>
      <c r="B111" s="71"/>
      <c r="C111" s="71"/>
      <c r="D111" s="71"/>
      <c r="E111" s="71"/>
      <c r="F111" s="71"/>
      <c r="G111" s="71"/>
      <c r="H111" s="71"/>
      <c r="I111" s="71"/>
    </row>
    <row r="112" spans="1:9" ht="12.75">
      <c r="A112" s="71"/>
      <c r="B112" s="71"/>
      <c r="C112" s="71"/>
      <c r="D112" s="71"/>
      <c r="E112" s="71"/>
      <c r="F112" s="71"/>
      <c r="G112" s="71"/>
      <c r="H112" s="71"/>
      <c r="I112" s="71"/>
    </row>
    <row r="113" spans="1:9" ht="12.75">
      <c r="A113" s="71"/>
      <c r="B113" s="71"/>
      <c r="C113" s="71"/>
      <c r="D113" s="71"/>
      <c r="E113" s="71"/>
      <c r="F113" s="71"/>
      <c r="G113" s="71"/>
      <c r="H113" s="71"/>
      <c r="I113" s="71"/>
    </row>
    <row r="114" spans="1:9" ht="12.75">
      <c r="A114" s="71"/>
      <c r="B114" s="71"/>
      <c r="C114" s="71"/>
      <c r="D114" s="71"/>
      <c r="E114" s="71"/>
      <c r="F114" s="71"/>
      <c r="G114" s="71"/>
      <c r="H114" s="71"/>
      <c r="I114" s="71"/>
    </row>
    <row r="115" spans="1:9" ht="12.75">
      <c r="A115" s="71"/>
      <c r="B115" s="71"/>
      <c r="C115" s="71"/>
      <c r="D115" s="71"/>
      <c r="E115" s="71"/>
      <c r="F115" s="71"/>
      <c r="G115" s="71"/>
      <c r="H115" s="71"/>
      <c r="I115" s="71"/>
    </row>
    <row r="116" spans="1:9" ht="12.75">
      <c r="A116" s="71"/>
      <c r="B116" s="71"/>
      <c r="C116" s="71"/>
      <c r="D116" s="71"/>
      <c r="E116" s="71"/>
      <c r="F116" s="71"/>
      <c r="G116" s="71"/>
      <c r="H116" s="71"/>
      <c r="I116" s="71"/>
    </row>
    <row r="117" spans="1:9" ht="12.75">
      <c r="A117" s="71"/>
      <c r="B117" s="71"/>
      <c r="C117" s="71"/>
      <c r="D117" s="71"/>
      <c r="E117" s="71"/>
      <c r="F117" s="71"/>
      <c r="G117" s="71"/>
      <c r="H117" s="71"/>
      <c r="I117" s="71"/>
    </row>
    <row r="118" spans="1:9" ht="12.75">
      <c r="A118" s="71"/>
      <c r="B118" s="71"/>
      <c r="C118" s="71"/>
      <c r="D118" s="71"/>
      <c r="E118" s="71"/>
      <c r="F118" s="71"/>
      <c r="G118" s="71"/>
      <c r="H118" s="71"/>
      <c r="I118" s="71"/>
    </row>
    <row r="119" spans="1:9" ht="12.75">
      <c r="A119" s="71"/>
      <c r="B119" s="71"/>
      <c r="C119" s="71"/>
      <c r="D119" s="71"/>
      <c r="E119" s="71"/>
      <c r="F119" s="71"/>
      <c r="G119" s="71"/>
      <c r="H119" s="71"/>
      <c r="I119" s="71"/>
    </row>
    <row r="120" spans="1:9" ht="12.75">
      <c r="A120" s="71"/>
      <c r="B120" s="71"/>
      <c r="C120" s="71"/>
      <c r="D120" s="71"/>
      <c r="E120" s="71"/>
      <c r="F120" s="71"/>
      <c r="G120" s="71"/>
      <c r="H120" s="71"/>
      <c r="I120" s="71"/>
    </row>
    <row r="121" spans="1:9" ht="12.75">
      <c r="A121" s="71"/>
      <c r="B121" s="71"/>
      <c r="C121" s="71"/>
      <c r="D121" s="71"/>
      <c r="E121" s="71"/>
      <c r="F121" s="71"/>
      <c r="G121" s="71"/>
      <c r="H121" s="71"/>
      <c r="I121" s="71"/>
    </row>
    <row r="122" spans="1:9" ht="12.75">
      <c r="A122" s="71"/>
      <c r="B122" s="71"/>
      <c r="C122" s="71"/>
      <c r="D122" s="71"/>
      <c r="E122" s="71"/>
      <c r="F122" s="71"/>
      <c r="G122" s="71"/>
      <c r="H122" s="71"/>
      <c r="I122" s="71"/>
    </row>
    <row r="123" spans="1:9" ht="12.75">
      <c r="A123" s="71"/>
      <c r="B123" s="71"/>
      <c r="C123" s="71"/>
      <c r="D123" s="71"/>
      <c r="E123" s="71"/>
      <c r="F123" s="71"/>
      <c r="G123" s="71"/>
      <c r="H123" s="71"/>
      <c r="I123" s="71"/>
    </row>
    <row r="124" spans="1:9" ht="12.75">
      <c r="A124" s="71"/>
      <c r="B124" s="71"/>
      <c r="C124" s="71"/>
      <c r="D124" s="71"/>
      <c r="E124" s="71"/>
      <c r="F124" s="71"/>
      <c r="G124" s="71"/>
      <c r="H124" s="71"/>
      <c r="I124" s="71"/>
    </row>
    <row r="125" spans="1:9" ht="12.75">
      <c r="A125" s="71"/>
      <c r="B125" s="71"/>
      <c r="C125" s="71"/>
      <c r="D125" s="71"/>
      <c r="E125" s="71"/>
      <c r="F125" s="71"/>
      <c r="G125" s="71"/>
      <c r="H125" s="71"/>
      <c r="I125" s="71"/>
    </row>
    <row r="126" spans="1:9" ht="12.75">
      <c r="A126" s="71"/>
      <c r="B126" s="71"/>
      <c r="C126" s="71"/>
      <c r="D126" s="71"/>
      <c r="E126" s="71"/>
      <c r="F126" s="71"/>
      <c r="G126" s="71"/>
      <c r="H126" s="71"/>
      <c r="I126" s="71"/>
    </row>
    <row r="127" spans="1:9" ht="12.75">
      <c r="A127" s="71"/>
      <c r="B127" s="71"/>
      <c r="C127" s="71"/>
      <c r="D127" s="71"/>
      <c r="E127" s="71"/>
      <c r="F127" s="71"/>
      <c r="G127" s="71"/>
      <c r="H127" s="71"/>
      <c r="I127" s="71"/>
    </row>
    <row r="128" spans="1:9" ht="12.75">
      <c r="A128" s="71"/>
      <c r="B128" s="71"/>
      <c r="C128" s="71"/>
      <c r="D128" s="71"/>
      <c r="E128" s="71"/>
      <c r="F128" s="71"/>
      <c r="G128" s="71"/>
      <c r="H128" s="71"/>
      <c r="I128" s="71"/>
    </row>
    <row r="129" spans="1:9" ht="12.75">
      <c r="A129" s="71"/>
      <c r="B129" s="71"/>
      <c r="C129" s="71"/>
      <c r="D129" s="71"/>
      <c r="E129" s="71"/>
      <c r="F129" s="71"/>
      <c r="G129" s="71"/>
      <c r="H129" s="71"/>
      <c r="I129" s="71"/>
    </row>
    <row r="130" spans="1:9" ht="12.75">
      <c r="A130" s="71"/>
      <c r="B130" s="71"/>
      <c r="C130" s="71"/>
      <c r="D130" s="71"/>
      <c r="E130" s="71"/>
      <c r="F130" s="71"/>
      <c r="G130" s="71"/>
      <c r="H130" s="71"/>
      <c r="I130" s="71"/>
    </row>
    <row r="131" spans="1:9" ht="12.75">
      <c r="A131" s="71"/>
      <c r="B131" s="71"/>
      <c r="C131" s="71"/>
      <c r="D131" s="71"/>
      <c r="E131" s="71"/>
      <c r="F131" s="71"/>
      <c r="G131" s="71"/>
      <c r="H131" s="71"/>
      <c r="I131" s="71"/>
    </row>
    <row r="132" spans="1:9" ht="12.75">
      <c r="A132" s="71"/>
      <c r="B132" s="71"/>
      <c r="C132" s="71"/>
      <c r="D132" s="71"/>
      <c r="E132" s="71"/>
      <c r="F132" s="71"/>
      <c r="G132" s="71"/>
      <c r="H132" s="71"/>
      <c r="I132" s="71"/>
    </row>
    <row r="133" spans="1:9" ht="12.75">
      <c r="A133" s="71"/>
      <c r="B133" s="71"/>
      <c r="C133" s="71"/>
      <c r="D133" s="71"/>
      <c r="E133" s="71"/>
      <c r="F133" s="71"/>
      <c r="G133" s="71"/>
      <c r="H133" s="71"/>
      <c r="I133" s="71"/>
    </row>
    <row r="134" spans="1:9" ht="12.75">
      <c r="A134" s="71"/>
      <c r="B134" s="71"/>
      <c r="C134" s="71"/>
      <c r="D134" s="71"/>
      <c r="E134" s="71"/>
      <c r="F134" s="71"/>
      <c r="G134" s="71"/>
      <c r="H134" s="71"/>
      <c r="I134" s="71"/>
    </row>
    <row r="135" spans="1:9" ht="12.75">
      <c r="A135" s="71"/>
      <c r="B135" s="71"/>
      <c r="C135" s="71"/>
      <c r="D135" s="71"/>
      <c r="E135" s="71"/>
      <c r="F135" s="71"/>
      <c r="G135" s="71"/>
      <c r="H135" s="71"/>
      <c r="I135" s="71"/>
    </row>
    <row r="136" spans="1:9" ht="12.75">
      <c r="A136" s="71"/>
      <c r="B136" s="71"/>
      <c r="C136" s="71"/>
      <c r="D136" s="71"/>
      <c r="E136" s="71"/>
      <c r="F136" s="71"/>
      <c r="G136" s="71"/>
      <c r="H136" s="71"/>
      <c r="I136" s="71"/>
    </row>
    <row r="137" spans="1:9" ht="12.75">
      <c r="A137" s="71"/>
      <c r="B137" s="71"/>
      <c r="C137" s="71"/>
      <c r="D137" s="71"/>
      <c r="E137" s="71"/>
      <c r="F137" s="71"/>
      <c r="G137" s="71"/>
      <c r="H137" s="71"/>
      <c r="I137" s="71"/>
    </row>
  </sheetData>
  <sheetProtection/>
  <mergeCells count="18">
    <mergeCell ref="C54:D54"/>
    <mergeCell ref="A1:G2"/>
    <mergeCell ref="A3:G3"/>
    <mergeCell ref="A4:H5"/>
    <mergeCell ref="F9:F11"/>
    <mergeCell ref="G9:G11"/>
    <mergeCell ref="A53:B53"/>
    <mergeCell ref="A54:B54"/>
    <mergeCell ref="A55:G55"/>
    <mergeCell ref="A56:B56"/>
    <mergeCell ref="A57:B57"/>
    <mergeCell ref="J9:Q12"/>
    <mergeCell ref="R9:X12"/>
    <mergeCell ref="A9:A11"/>
    <mergeCell ref="B9:B11"/>
    <mergeCell ref="C9:D10"/>
    <mergeCell ref="E9:E11"/>
    <mergeCell ref="C53:D5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  <colBreaks count="1" manualBreakCount="1">
    <brk id="7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AP53"/>
  <sheetViews>
    <sheetView view="pageBreakPreview" zoomScale="75" zoomScaleSheetLayoutView="75" zoomScalePageLayoutView="0" workbookViewId="0" topLeftCell="A25">
      <selection activeCell="E46" sqref="E46"/>
    </sheetView>
  </sheetViews>
  <sheetFormatPr defaultColWidth="9.00390625" defaultRowHeight="12.75"/>
  <cols>
    <col min="1" max="1" width="9.375" style="0" bestFit="1" customWidth="1"/>
    <col min="2" max="2" width="51.125" style="0" customWidth="1"/>
    <col min="3" max="3" width="11.375" style="0" customWidth="1"/>
    <col min="4" max="4" width="11.625" style="0" customWidth="1"/>
    <col min="5" max="5" width="14.625" style="0" customWidth="1"/>
    <col min="6" max="6" width="15.75390625" style="0" bestFit="1" customWidth="1"/>
    <col min="7" max="7" width="14.00390625" style="0" bestFit="1" customWidth="1"/>
    <col min="8" max="8" width="15.625" style="0" hidden="1" customWidth="1"/>
    <col min="9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1" width="9.25390625" style="0" hidden="1" customWidth="1"/>
    <col min="22" max="23" width="11.00390625" style="0" hidden="1" customWidth="1"/>
    <col min="24" max="35" width="0" style="0" hidden="1" customWidth="1"/>
  </cols>
  <sheetData>
    <row r="1" spans="1:8" ht="18.75">
      <c r="A1" s="193" t="s">
        <v>25</v>
      </c>
      <c r="B1" s="193"/>
      <c r="C1" s="193"/>
      <c r="D1" s="193"/>
      <c r="E1" s="193"/>
      <c r="F1" s="193"/>
      <c r="G1" s="193"/>
      <c r="H1" s="55"/>
    </row>
    <row r="2" spans="1:8" ht="18.75">
      <c r="A2" s="193"/>
      <c r="B2" s="193"/>
      <c r="C2" s="193"/>
      <c r="D2" s="193"/>
      <c r="E2" s="193"/>
      <c r="F2" s="193"/>
      <c r="G2" s="193"/>
      <c r="H2" s="55"/>
    </row>
    <row r="3" spans="1:8" ht="40.5" customHeight="1">
      <c r="A3" s="193" t="s">
        <v>64</v>
      </c>
      <c r="B3" s="193"/>
      <c r="C3" s="193"/>
      <c r="D3" s="193"/>
      <c r="E3" s="193"/>
      <c r="F3" s="193"/>
      <c r="G3" s="193"/>
      <c r="H3" s="52"/>
    </row>
    <row r="4" spans="1:8" ht="12.75">
      <c r="A4" s="193" t="s">
        <v>110</v>
      </c>
      <c r="B4" s="193"/>
      <c r="C4" s="193"/>
      <c r="D4" s="193"/>
      <c r="E4" s="193"/>
      <c r="F4" s="193"/>
      <c r="G4" s="193"/>
      <c r="H4" s="193"/>
    </row>
    <row r="5" spans="1:8" ht="12.75">
      <c r="A5" s="193"/>
      <c r="B5" s="193"/>
      <c r="C5" s="193"/>
      <c r="D5" s="193"/>
      <c r="E5" s="193"/>
      <c r="F5" s="193"/>
      <c r="G5" s="193"/>
      <c r="H5" s="193"/>
    </row>
    <row r="6" spans="1:8" ht="18.75">
      <c r="A6" s="52"/>
      <c r="B6" s="52"/>
      <c r="C6" s="52"/>
      <c r="D6" s="52"/>
      <c r="E6" s="52"/>
      <c r="F6" s="52"/>
      <c r="G6" s="52"/>
      <c r="H6" s="52"/>
    </row>
    <row r="7" spans="1:8" ht="22.5">
      <c r="A7" s="59"/>
      <c r="B7" s="57" t="s">
        <v>5</v>
      </c>
      <c r="C7" s="122">
        <v>636.1</v>
      </c>
      <c r="D7" s="52" t="s">
        <v>31</v>
      </c>
      <c r="E7" s="55"/>
      <c r="F7" s="55"/>
      <c r="G7" s="55"/>
      <c r="H7" s="55"/>
    </row>
    <row r="8" spans="1:8" ht="18.75">
      <c r="A8" s="59"/>
      <c r="B8" s="52"/>
      <c r="C8" s="52"/>
      <c r="D8" s="52"/>
      <c r="E8" s="52"/>
      <c r="F8" s="52"/>
      <c r="G8" s="52"/>
      <c r="H8" s="52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44" t="s">
        <v>99</v>
      </c>
      <c r="F9" s="247" t="s">
        <v>74</v>
      </c>
      <c r="G9" s="244" t="s">
        <v>218</v>
      </c>
      <c r="H9" s="53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61.5" customHeight="1">
      <c r="A10" s="212"/>
      <c r="B10" s="212"/>
      <c r="C10" s="216"/>
      <c r="D10" s="217"/>
      <c r="E10" s="245"/>
      <c r="F10" s="248"/>
      <c r="G10" s="245"/>
      <c r="H10" s="53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99" customHeight="1">
      <c r="A11" s="213"/>
      <c r="B11" s="213"/>
      <c r="C11" s="124" t="s">
        <v>107</v>
      </c>
      <c r="D11" s="124" t="s">
        <v>106</v>
      </c>
      <c r="E11" s="246"/>
      <c r="F11" s="249"/>
      <c r="G11" s="246"/>
      <c r="H11" s="53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42" t="s">
        <v>12</v>
      </c>
      <c r="B12" s="53" t="s">
        <v>20</v>
      </c>
      <c r="C12" s="74"/>
      <c r="D12" s="74"/>
      <c r="E12" s="42"/>
      <c r="F12" s="42"/>
      <c r="G12" s="42"/>
      <c r="H12" s="53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8" ht="18.75">
      <c r="A13" s="42" t="s">
        <v>13</v>
      </c>
      <c r="B13" s="53" t="s">
        <v>10</v>
      </c>
      <c r="C13" s="34">
        <v>1.09</v>
      </c>
      <c r="D13" s="34">
        <v>1.14</v>
      </c>
      <c r="E13" s="42">
        <f aca="true" t="shared" si="0" ref="E13:E18">AJ13*6*AK13</f>
        <v>8511.018</v>
      </c>
      <c r="F13" s="42">
        <f>E13</f>
        <v>8511.018</v>
      </c>
      <c r="G13" s="42">
        <f aca="true" t="shared" si="1" ref="G13:G18">AJ13*12*AL13</f>
        <v>8701.848</v>
      </c>
      <c r="H13" s="53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636.1</v>
      </c>
      <c r="K13">
        <v>6</v>
      </c>
      <c r="L13">
        <v>2</v>
      </c>
      <c r="M13">
        <v>4</v>
      </c>
      <c r="N13" s="20">
        <f aca="true" t="shared" si="4" ref="N13:N18">C13*J13*K13</f>
        <v>4160.094</v>
      </c>
      <c r="O13" s="20" t="e">
        <f>J13*#REF!*L13</f>
        <v>#REF!</v>
      </c>
      <c r="P13" s="20">
        <f aca="true" t="shared" si="5" ref="P13:P18">D13*J13*M13</f>
        <v>2900.616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4007.4300000000003</v>
      </c>
      <c r="W13">
        <f aca="true" t="shared" si="8" ref="W13:W18">U13*S13*J13</f>
        <v>4160.094000000001</v>
      </c>
      <c r="X13">
        <f aca="true" t="shared" si="9" ref="X13:X18">SUM(V13:W13)</f>
        <v>8167.524000000001</v>
      </c>
      <c r="AJ13" s="69">
        <f>C7</f>
        <v>636.1</v>
      </c>
      <c r="AK13" s="22">
        <f aca="true" t="shared" si="10" ref="AK13:AK18">C13+D13</f>
        <v>2.23</v>
      </c>
      <c r="AL13" s="34">
        <v>1.14</v>
      </c>
    </row>
    <row r="14" spans="1:38" ht="37.5">
      <c r="A14" s="42" t="s">
        <v>14</v>
      </c>
      <c r="B14" s="53" t="s">
        <v>15</v>
      </c>
      <c r="C14" s="34">
        <v>1.39</v>
      </c>
      <c r="D14" s="34">
        <v>1.46</v>
      </c>
      <c r="E14" s="42">
        <f t="shared" si="0"/>
        <v>10877.31</v>
      </c>
      <c r="F14" s="42">
        <f>E14</f>
        <v>10877.31</v>
      </c>
      <c r="G14" s="42">
        <f t="shared" si="1"/>
        <v>11144.472000000002</v>
      </c>
      <c r="H14" s="53">
        <f t="shared" si="2"/>
        <v>1.4594110115189</v>
      </c>
      <c r="I14" s="18">
        <f t="shared" si="3"/>
        <v>1.5572983354607999</v>
      </c>
      <c r="J14" s="19">
        <f>J13</f>
        <v>636.1</v>
      </c>
      <c r="K14">
        <v>6</v>
      </c>
      <c r="L14">
        <v>2</v>
      </c>
      <c r="M14">
        <v>4</v>
      </c>
      <c r="N14" s="20">
        <f t="shared" si="4"/>
        <v>5305.074</v>
      </c>
      <c r="O14" s="20" t="e">
        <f>J14*#REF!*L14</f>
        <v>#REF!</v>
      </c>
      <c r="P14" s="20">
        <f t="shared" si="5"/>
        <v>3714.824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5076.078</v>
      </c>
      <c r="W14">
        <f t="shared" si="8"/>
        <v>5305.0740000000005</v>
      </c>
      <c r="X14">
        <f t="shared" si="9"/>
        <v>10381.152000000002</v>
      </c>
      <c r="AJ14">
        <f>AJ13</f>
        <v>636.1</v>
      </c>
      <c r="AK14" s="22">
        <f t="shared" si="10"/>
        <v>2.8499999999999996</v>
      </c>
      <c r="AL14" s="34">
        <v>1.46</v>
      </c>
    </row>
    <row r="15" spans="1:38" ht="18.75">
      <c r="A15" s="42" t="s">
        <v>16</v>
      </c>
      <c r="B15" s="53" t="s">
        <v>7</v>
      </c>
      <c r="C15" s="34"/>
      <c r="D15" s="34"/>
      <c r="E15" s="42"/>
      <c r="F15" s="42"/>
      <c r="G15" s="42"/>
      <c r="H15" s="53"/>
      <c r="I15" s="18"/>
      <c r="J15" s="19"/>
      <c r="N15" s="20"/>
      <c r="O15" s="20"/>
      <c r="P15" s="20"/>
      <c r="Q15" s="21"/>
      <c r="R15" s="22"/>
      <c r="S15" s="22"/>
      <c r="AK15" s="22"/>
      <c r="AL15" s="34"/>
    </row>
    <row r="16" spans="1:38" ht="18.75">
      <c r="A16" s="42" t="s">
        <v>21</v>
      </c>
      <c r="B16" s="53" t="s">
        <v>11</v>
      </c>
      <c r="C16" s="34">
        <v>0.82</v>
      </c>
      <c r="D16" s="34">
        <v>0.58</v>
      </c>
      <c r="E16" s="42">
        <f t="shared" si="0"/>
        <v>5343.24</v>
      </c>
      <c r="F16" s="42">
        <f>E16</f>
        <v>5343.24</v>
      </c>
      <c r="G16" s="42">
        <f t="shared" si="1"/>
        <v>4427.256</v>
      </c>
      <c r="H16" s="53">
        <f t="shared" si="2"/>
        <v>0.8609475031982</v>
      </c>
      <c r="I16" s="18">
        <f t="shared" si="3"/>
        <v>0.9186939820703999</v>
      </c>
      <c r="J16" s="19">
        <f>J15</f>
        <v>0</v>
      </c>
      <c r="K16">
        <v>6</v>
      </c>
      <c r="L16">
        <v>2</v>
      </c>
      <c r="M16">
        <v>4</v>
      </c>
      <c r="N16" s="20">
        <f t="shared" si="4"/>
        <v>0</v>
      </c>
      <c r="O16" s="20" t="e">
        <f>J16*#REF!*L16</f>
        <v>#REF!</v>
      </c>
      <c r="P16" s="20">
        <f t="shared" si="5"/>
        <v>0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0</v>
      </c>
      <c r="W16">
        <f t="shared" si="8"/>
        <v>0</v>
      </c>
      <c r="X16">
        <f t="shared" si="9"/>
        <v>0</v>
      </c>
      <c r="AJ16">
        <f>AJ14</f>
        <v>636.1</v>
      </c>
      <c r="AK16" s="22">
        <f t="shared" si="10"/>
        <v>1.4</v>
      </c>
      <c r="AL16" s="34">
        <v>0.58</v>
      </c>
    </row>
    <row r="17" spans="1:38" ht="18.75">
      <c r="A17" s="42" t="s">
        <v>22</v>
      </c>
      <c r="B17" s="53" t="s">
        <v>19</v>
      </c>
      <c r="C17" s="34">
        <v>1.24</v>
      </c>
      <c r="D17" s="34">
        <v>1.24</v>
      </c>
      <c r="E17" s="42">
        <f t="shared" si="0"/>
        <v>9465.168000000001</v>
      </c>
      <c r="F17" s="42">
        <f>E17</f>
        <v>9465.168000000001</v>
      </c>
      <c r="G17" s="42">
        <f t="shared" si="1"/>
        <v>9465.168000000001</v>
      </c>
      <c r="H17" s="53">
        <f t="shared" si="2"/>
        <v>1.3019206145924</v>
      </c>
      <c r="I17" s="18">
        <f t="shared" si="3"/>
        <v>1.3892445582528</v>
      </c>
      <c r="J17" s="19">
        <f>J16</f>
        <v>0</v>
      </c>
      <c r="K17">
        <v>6</v>
      </c>
      <c r="L17">
        <v>2</v>
      </c>
      <c r="M17">
        <v>4</v>
      </c>
      <c r="N17" s="20">
        <f t="shared" si="4"/>
        <v>0</v>
      </c>
      <c r="O17" s="20" t="e">
        <f>J17*#REF!*L17</f>
        <v>#REF!</v>
      </c>
      <c r="P17" s="20">
        <f t="shared" si="5"/>
        <v>0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0</v>
      </c>
      <c r="W17">
        <f t="shared" si="8"/>
        <v>0</v>
      </c>
      <c r="X17">
        <f t="shared" si="9"/>
        <v>0</v>
      </c>
      <c r="AJ17">
        <f>AJ16</f>
        <v>636.1</v>
      </c>
      <c r="AK17" s="22">
        <f t="shared" si="10"/>
        <v>2.48</v>
      </c>
      <c r="AL17" s="34">
        <v>1.24</v>
      </c>
    </row>
    <row r="18" spans="1:38" ht="60.75" customHeight="1">
      <c r="A18" s="42" t="s">
        <v>23</v>
      </c>
      <c r="B18" s="53" t="s">
        <v>24</v>
      </c>
      <c r="C18" s="34">
        <v>4.47</v>
      </c>
      <c r="D18" s="34">
        <v>5.18</v>
      </c>
      <c r="E18" s="42">
        <f t="shared" si="0"/>
        <v>36830.189999999995</v>
      </c>
      <c r="F18" s="99">
        <f>F20+F22+F23+F25+F26+F28+F30+F32+F34+F36+F38+F39+F41+F43</f>
        <v>46808.09999999999</v>
      </c>
      <c r="G18" s="42">
        <f t="shared" si="1"/>
        <v>39539.976</v>
      </c>
      <c r="H18" s="53">
        <f t="shared" si="2"/>
        <v>4.6932138284097</v>
      </c>
      <c r="I18" s="18">
        <f t="shared" si="3"/>
        <v>5.008002560798399</v>
      </c>
      <c r="J18" s="19">
        <f>J17</f>
        <v>0</v>
      </c>
      <c r="K18">
        <v>6</v>
      </c>
      <c r="L18">
        <v>2</v>
      </c>
      <c r="M18">
        <v>4</v>
      </c>
      <c r="N18" s="20">
        <f t="shared" si="4"/>
        <v>0</v>
      </c>
      <c r="O18" s="20" t="e">
        <f>J18*#REF!*L18</f>
        <v>#REF!</v>
      </c>
      <c r="P18" s="20">
        <f t="shared" si="5"/>
        <v>0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0</v>
      </c>
      <c r="W18">
        <f t="shared" si="8"/>
        <v>0</v>
      </c>
      <c r="X18">
        <f t="shared" si="9"/>
        <v>0</v>
      </c>
      <c r="AJ18">
        <f>AJ17</f>
        <v>636.1</v>
      </c>
      <c r="AK18" s="22">
        <f t="shared" si="10"/>
        <v>9.649999999999999</v>
      </c>
      <c r="AL18" s="34">
        <v>5.18</v>
      </c>
    </row>
    <row r="19" spans="1:19" ht="18.75">
      <c r="A19" s="42"/>
      <c r="B19" s="42" t="s">
        <v>75</v>
      </c>
      <c r="C19" s="74"/>
      <c r="D19" s="74"/>
      <c r="E19" s="42"/>
      <c r="F19" s="99"/>
      <c r="G19" s="42"/>
      <c r="H19" s="53"/>
      <c r="I19" s="18"/>
      <c r="J19" s="19"/>
      <c r="N19" s="20"/>
      <c r="O19" s="20"/>
      <c r="P19" s="20"/>
      <c r="Q19" s="21"/>
      <c r="R19" s="22"/>
      <c r="S19" s="22"/>
    </row>
    <row r="20" spans="1:19" ht="19.5" customHeight="1">
      <c r="A20" s="42"/>
      <c r="B20" s="53" t="s">
        <v>701</v>
      </c>
      <c r="C20" s="74"/>
      <c r="D20" s="74"/>
      <c r="E20" s="42"/>
      <c r="F20" s="100">
        <v>3895.32</v>
      </c>
      <c r="G20" s="42"/>
      <c r="H20" s="53"/>
      <c r="I20" s="18"/>
      <c r="J20" s="19"/>
      <c r="N20" s="20"/>
      <c r="O20" s="20"/>
      <c r="P20" s="20"/>
      <c r="Q20" s="21"/>
      <c r="R20" s="22"/>
      <c r="S20" s="22"/>
    </row>
    <row r="21" spans="1:19" ht="19.5" customHeight="1">
      <c r="A21" s="42"/>
      <c r="B21" s="42" t="s">
        <v>221</v>
      </c>
      <c r="C21" s="74"/>
      <c r="D21" s="74"/>
      <c r="E21" s="42"/>
      <c r="F21" s="100"/>
      <c r="G21" s="42"/>
      <c r="H21" s="53"/>
      <c r="I21" s="18"/>
      <c r="J21" s="19"/>
      <c r="N21" s="20"/>
      <c r="O21" s="20"/>
      <c r="P21" s="20"/>
      <c r="Q21" s="21"/>
      <c r="R21" s="22"/>
      <c r="S21" s="22"/>
    </row>
    <row r="22" spans="1:19" ht="19.5" customHeight="1">
      <c r="A22" s="42"/>
      <c r="B22" s="53" t="s">
        <v>702</v>
      </c>
      <c r="C22" s="74"/>
      <c r="D22" s="74"/>
      <c r="E22" s="42"/>
      <c r="F22" s="100">
        <v>3895.32</v>
      </c>
      <c r="G22" s="42"/>
      <c r="H22" s="53"/>
      <c r="I22" s="18"/>
      <c r="J22" s="19"/>
      <c r="N22" s="20"/>
      <c r="O22" s="20"/>
      <c r="P22" s="20"/>
      <c r="Q22" s="21"/>
      <c r="R22" s="22"/>
      <c r="S22" s="22"/>
    </row>
    <row r="23" spans="1:19" ht="19.5" customHeight="1">
      <c r="A23" s="42"/>
      <c r="B23" s="53" t="s">
        <v>669</v>
      </c>
      <c r="C23" s="74"/>
      <c r="D23" s="74"/>
      <c r="E23" s="42"/>
      <c r="F23" s="100">
        <v>1176.81</v>
      </c>
      <c r="G23" s="42"/>
      <c r="H23" s="53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42"/>
      <c r="B24" s="42" t="s">
        <v>89</v>
      </c>
      <c r="C24" s="74"/>
      <c r="D24" s="74"/>
      <c r="E24" s="42"/>
      <c r="F24" s="99"/>
      <c r="G24" s="42"/>
      <c r="H24" s="53"/>
      <c r="I24" s="18"/>
      <c r="J24" s="19"/>
      <c r="N24" s="20"/>
      <c r="O24" s="20"/>
      <c r="P24" s="20"/>
      <c r="Q24" s="21"/>
      <c r="R24" s="22"/>
      <c r="S24" s="22"/>
    </row>
    <row r="25" spans="1:19" ht="37.5">
      <c r="A25" s="42"/>
      <c r="B25" s="53" t="s">
        <v>703</v>
      </c>
      <c r="C25" s="74"/>
      <c r="D25" s="74"/>
      <c r="E25" s="42"/>
      <c r="F25" s="99">
        <v>3397.04</v>
      </c>
      <c r="G25" s="42"/>
      <c r="H25" s="53"/>
      <c r="I25" s="18"/>
      <c r="J25" s="19"/>
      <c r="N25" s="20"/>
      <c r="O25" s="20"/>
      <c r="P25" s="20"/>
      <c r="Q25" s="21"/>
      <c r="R25" s="22"/>
      <c r="S25" s="22"/>
    </row>
    <row r="26" spans="1:19" ht="18.75">
      <c r="A26" s="42"/>
      <c r="B26" s="42" t="s">
        <v>214</v>
      </c>
      <c r="C26" s="74"/>
      <c r="D26" s="74"/>
      <c r="E26" s="42"/>
      <c r="F26" s="99">
        <v>1292.21</v>
      </c>
      <c r="G26" s="42"/>
      <c r="H26" s="53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42"/>
      <c r="B27" s="42" t="s">
        <v>539</v>
      </c>
      <c r="C27" s="74"/>
      <c r="D27" s="74"/>
      <c r="E27" s="42"/>
      <c r="F27" s="99"/>
      <c r="G27" s="42"/>
      <c r="H27" s="53"/>
      <c r="I27" s="18"/>
      <c r="J27" s="19"/>
      <c r="N27" s="20"/>
      <c r="O27" s="20"/>
      <c r="P27" s="20"/>
      <c r="Q27" s="21"/>
      <c r="R27" s="22"/>
      <c r="S27" s="22"/>
    </row>
    <row r="28" spans="1:19" ht="37.5">
      <c r="A28" s="42"/>
      <c r="B28" s="42" t="s">
        <v>704</v>
      </c>
      <c r="C28" s="74"/>
      <c r="D28" s="74"/>
      <c r="E28" s="42"/>
      <c r="F28" s="99">
        <v>4851.59</v>
      </c>
      <c r="G28" s="42"/>
      <c r="H28" s="53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42"/>
      <c r="B29" s="42" t="s">
        <v>124</v>
      </c>
      <c r="C29" s="74"/>
      <c r="D29" s="74"/>
      <c r="E29" s="42"/>
      <c r="F29" s="99"/>
      <c r="G29" s="42"/>
      <c r="H29" s="53"/>
      <c r="I29" s="18"/>
      <c r="J29" s="19"/>
      <c r="N29" s="20"/>
      <c r="O29" s="20"/>
      <c r="P29" s="20"/>
      <c r="Q29" s="21"/>
      <c r="R29" s="22"/>
      <c r="S29" s="22"/>
    </row>
    <row r="30" spans="1:19" ht="37.5">
      <c r="A30" s="42"/>
      <c r="B30" s="42" t="s">
        <v>705</v>
      </c>
      <c r="C30" s="74"/>
      <c r="D30" s="74"/>
      <c r="E30" s="42"/>
      <c r="F30" s="99">
        <v>6288.25</v>
      </c>
      <c r="G30" s="42"/>
      <c r="H30" s="53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42"/>
      <c r="B31" s="42" t="s">
        <v>563</v>
      </c>
      <c r="C31" s="74"/>
      <c r="D31" s="74"/>
      <c r="E31" s="42"/>
      <c r="F31" s="99"/>
      <c r="G31" s="42"/>
      <c r="H31" s="53"/>
      <c r="I31" s="18"/>
      <c r="J31" s="19"/>
      <c r="N31" s="20"/>
      <c r="O31" s="20"/>
      <c r="P31" s="20"/>
      <c r="Q31" s="21"/>
      <c r="R31" s="22"/>
      <c r="S31" s="22"/>
    </row>
    <row r="32" spans="1:19" ht="37.5">
      <c r="A32" s="42"/>
      <c r="B32" s="42" t="s">
        <v>706</v>
      </c>
      <c r="C32" s="74"/>
      <c r="D32" s="74"/>
      <c r="E32" s="42"/>
      <c r="F32" s="99">
        <v>6074.59</v>
      </c>
      <c r="G32" s="42"/>
      <c r="H32" s="53"/>
      <c r="I32" s="18"/>
      <c r="J32" s="19"/>
      <c r="N32" s="20"/>
      <c r="O32" s="20"/>
      <c r="P32" s="20"/>
      <c r="Q32" s="21"/>
      <c r="R32" s="22"/>
      <c r="S32" s="22"/>
    </row>
    <row r="33" spans="1:19" ht="18.75">
      <c r="A33" s="42"/>
      <c r="B33" s="42" t="s">
        <v>707</v>
      </c>
      <c r="C33" s="74"/>
      <c r="D33" s="74"/>
      <c r="E33" s="42"/>
      <c r="F33" s="99"/>
      <c r="G33" s="42"/>
      <c r="H33" s="53"/>
      <c r="I33" s="18"/>
      <c r="J33" s="19"/>
      <c r="N33" s="20"/>
      <c r="O33" s="20"/>
      <c r="P33" s="20"/>
      <c r="Q33" s="21"/>
      <c r="R33" s="22"/>
      <c r="S33" s="22"/>
    </row>
    <row r="34" spans="1:19" ht="18.75">
      <c r="A34" s="42"/>
      <c r="B34" s="53" t="s">
        <v>708</v>
      </c>
      <c r="C34" s="74"/>
      <c r="D34" s="74"/>
      <c r="E34" s="42"/>
      <c r="F34" s="99">
        <v>3174.9</v>
      </c>
      <c r="G34" s="42"/>
      <c r="H34" s="53"/>
      <c r="I34" s="18"/>
      <c r="J34" s="19"/>
      <c r="N34" s="20"/>
      <c r="O34" s="20"/>
      <c r="P34" s="20"/>
      <c r="Q34" s="21"/>
      <c r="R34" s="22"/>
      <c r="S34" s="22"/>
    </row>
    <row r="35" spans="1:19" ht="18.75">
      <c r="A35" s="42"/>
      <c r="B35" s="42" t="s">
        <v>98</v>
      </c>
      <c r="C35" s="74"/>
      <c r="D35" s="74"/>
      <c r="E35" s="42"/>
      <c r="F35" s="99"/>
      <c r="G35" s="42"/>
      <c r="H35" s="53"/>
      <c r="I35" s="18"/>
      <c r="J35" s="19"/>
      <c r="N35" s="20"/>
      <c r="O35" s="20"/>
      <c r="P35" s="20"/>
      <c r="Q35" s="21"/>
      <c r="R35" s="22"/>
      <c r="S35" s="22"/>
    </row>
    <row r="36" spans="1:19" ht="37.5">
      <c r="A36" s="42"/>
      <c r="B36" s="53" t="s">
        <v>709</v>
      </c>
      <c r="C36" s="74"/>
      <c r="D36" s="74"/>
      <c r="E36" s="42"/>
      <c r="F36" s="99">
        <v>2392.38</v>
      </c>
      <c r="G36" s="42"/>
      <c r="H36" s="53"/>
      <c r="I36" s="18"/>
      <c r="J36" s="19"/>
      <c r="N36" s="20"/>
      <c r="O36" s="20"/>
      <c r="P36" s="20"/>
      <c r="Q36" s="21"/>
      <c r="R36" s="22"/>
      <c r="S36" s="22"/>
    </row>
    <row r="37" spans="1:19" ht="18.75">
      <c r="A37" s="42"/>
      <c r="B37" s="42" t="s">
        <v>95</v>
      </c>
      <c r="C37" s="74"/>
      <c r="D37" s="74"/>
      <c r="E37" s="42"/>
      <c r="F37" s="99"/>
      <c r="G37" s="42"/>
      <c r="H37" s="53"/>
      <c r="I37" s="18"/>
      <c r="J37" s="19"/>
      <c r="N37" s="20"/>
      <c r="O37" s="20"/>
      <c r="P37" s="20"/>
      <c r="Q37" s="21"/>
      <c r="R37" s="22"/>
      <c r="S37" s="22"/>
    </row>
    <row r="38" spans="1:19" ht="18.75">
      <c r="A38" s="42"/>
      <c r="B38" s="53" t="s">
        <v>710</v>
      </c>
      <c r="C38" s="74"/>
      <c r="D38" s="74"/>
      <c r="E38" s="42"/>
      <c r="F38" s="99">
        <v>1993.28</v>
      </c>
      <c r="G38" s="42"/>
      <c r="H38" s="53"/>
      <c r="I38" s="18"/>
      <c r="J38" s="19"/>
      <c r="N38" s="20"/>
      <c r="O38" s="20"/>
      <c r="P38" s="20"/>
      <c r="Q38" s="21"/>
      <c r="R38" s="22"/>
      <c r="S38" s="22"/>
    </row>
    <row r="39" spans="1:19" ht="18.75">
      <c r="A39" s="42"/>
      <c r="B39" s="53" t="s">
        <v>214</v>
      </c>
      <c r="C39" s="74"/>
      <c r="D39" s="74"/>
      <c r="E39" s="42"/>
      <c r="F39" s="99">
        <v>735.59</v>
      </c>
      <c r="G39" s="42"/>
      <c r="H39" s="53"/>
      <c r="I39" s="18"/>
      <c r="J39" s="19"/>
      <c r="N39" s="20"/>
      <c r="O39" s="20"/>
      <c r="P39" s="20"/>
      <c r="Q39" s="21"/>
      <c r="R39" s="22"/>
      <c r="S39" s="22"/>
    </row>
    <row r="40" spans="1:19" ht="18.75">
      <c r="A40" s="42"/>
      <c r="B40" s="42" t="s">
        <v>96</v>
      </c>
      <c r="C40" s="74"/>
      <c r="D40" s="74"/>
      <c r="E40" s="42"/>
      <c r="F40" s="99"/>
      <c r="G40" s="42"/>
      <c r="H40" s="53"/>
      <c r="I40" s="18"/>
      <c r="J40" s="19"/>
      <c r="N40" s="20"/>
      <c r="O40" s="20"/>
      <c r="P40" s="20"/>
      <c r="Q40" s="21"/>
      <c r="R40" s="22"/>
      <c r="S40" s="22"/>
    </row>
    <row r="41" spans="1:19" ht="37.5">
      <c r="A41" s="42"/>
      <c r="B41" s="53" t="s">
        <v>711</v>
      </c>
      <c r="C41" s="74"/>
      <c r="D41" s="74"/>
      <c r="E41" s="42"/>
      <c r="F41" s="99">
        <v>1721.97</v>
      </c>
      <c r="G41" s="42"/>
      <c r="H41" s="53"/>
      <c r="I41" s="18"/>
      <c r="J41" s="19"/>
      <c r="N41" s="20"/>
      <c r="O41" s="20"/>
      <c r="P41" s="20"/>
      <c r="Q41" s="21"/>
      <c r="R41" s="22"/>
      <c r="S41" s="22"/>
    </row>
    <row r="42" spans="1:19" ht="18.75">
      <c r="A42" s="42"/>
      <c r="B42" s="42" t="s">
        <v>97</v>
      </c>
      <c r="C42" s="74"/>
      <c r="D42" s="74"/>
      <c r="E42" s="42"/>
      <c r="F42" s="99"/>
      <c r="G42" s="42"/>
      <c r="H42" s="53"/>
      <c r="I42" s="18"/>
      <c r="J42" s="19"/>
      <c r="N42" s="20"/>
      <c r="O42" s="20"/>
      <c r="P42" s="20"/>
      <c r="Q42" s="21"/>
      <c r="R42" s="22"/>
      <c r="S42" s="22"/>
    </row>
    <row r="43" spans="1:19" ht="56.25">
      <c r="A43" s="42"/>
      <c r="B43" s="53" t="s">
        <v>712</v>
      </c>
      <c r="C43" s="74"/>
      <c r="D43" s="74"/>
      <c r="E43" s="42"/>
      <c r="F43" s="99">
        <v>5918.85</v>
      </c>
      <c r="G43" s="42"/>
      <c r="H43" s="53"/>
      <c r="I43" s="18"/>
      <c r="J43" s="19"/>
      <c r="N43" s="20"/>
      <c r="O43" s="20"/>
      <c r="P43" s="20"/>
      <c r="Q43" s="21"/>
      <c r="R43" s="22"/>
      <c r="S43" s="22"/>
    </row>
    <row r="44" spans="1:19" ht="56.25">
      <c r="A44" s="42"/>
      <c r="B44" s="14" t="s">
        <v>943</v>
      </c>
      <c r="C44" s="74"/>
      <c r="D44" s="74"/>
      <c r="E44" s="42"/>
      <c r="F44" s="99"/>
      <c r="G44" s="42"/>
      <c r="H44" s="53"/>
      <c r="I44" s="18"/>
      <c r="J44" s="19"/>
      <c r="N44" s="20"/>
      <c r="O44" s="20"/>
      <c r="P44" s="20"/>
      <c r="Q44" s="21"/>
      <c r="R44" s="22"/>
      <c r="S44" s="22"/>
    </row>
    <row r="45" spans="1:24" ht="18.75">
      <c r="A45" s="53"/>
      <c r="B45" s="53" t="s">
        <v>9</v>
      </c>
      <c r="C45" s="74">
        <f>SUM(C13:C41)</f>
        <v>9.01</v>
      </c>
      <c r="D45" s="74">
        <f>SUM(D13:D41)</f>
        <v>9.6</v>
      </c>
      <c r="E45" s="42">
        <f>SUM(E13:E41)+0.05</f>
        <v>71026.97600000001</v>
      </c>
      <c r="F45" s="42">
        <f>F13+F14+F15+F16+F17+F18</f>
        <v>81004.836</v>
      </c>
      <c r="G45" s="42">
        <f>G13+G14+G15+G16+G17+G18</f>
        <v>73278.72</v>
      </c>
      <c r="H45" s="53">
        <f>1.04993597951*C45</f>
        <v>9.4599231753851</v>
      </c>
      <c r="I45" s="18">
        <f>1.12035851472*C45</f>
        <v>10.094430217627199</v>
      </c>
      <c r="J45" s="19">
        <f>J18</f>
        <v>0</v>
      </c>
      <c r="N45" s="20"/>
      <c r="Q45" s="24"/>
      <c r="R45" s="22">
        <f>SUM(R13:R41)</f>
        <v>8.620000000000001</v>
      </c>
      <c r="S45" s="22">
        <f>SUM(S13:S41)</f>
        <v>9.16</v>
      </c>
      <c r="T45" s="22"/>
      <c r="U45" s="22"/>
      <c r="V45" s="22">
        <f>SUM(V13:V41)</f>
        <v>9083.508000000002</v>
      </c>
      <c r="W45" s="22">
        <f>SUM(W13:W41)</f>
        <v>9465.168000000001</v>
      </c>
      <c r="X45" s="22">
        <f>SUM(X13:X41)</f>
        <v>18548.676000000003</v>
      </c>
    </row>
    <row r="46" spans="1:42" ht="20.25">
      <c r="A46" s="13">
        <v>5</v>
      </c>
      <c r="B46" s="54" t="s">
        <v>26</v>
      </c>
      <c r="C46" s="127">
        <v>1.58</v>
      </c>
      <c r="D46" s="127">
        <v>1.85</v>
      </c>
      <c r="E46" s="128">
        <f>AN46*6*AK46</f>
        <v>13090.938000000002</v>
      </c>
      <c r="F46" s="129">
        <f>E46</f>
        <v>13090.938000000002</v>
      </c>
      <c r="G46" s="129">
        <f>AN46*12*AO46</f>
        <v>14426.748000000001</v>
      </c>
      <c r="H46" s="69" t="e">
        <f>#REF!</f>
        <v>#REF!</v>
      </c>
      <c r="I46" s="22">
        <f>C46+D46</f>
        <v>3.43</v>
      </c>
      <c r="J46" s="34">
        <v>3.43</v>
      </c>
      <c r="K46">
        <v>10</v>
      </c>
      <c r="L46">
        <v>2</v>
      </c>
      <c r="N46" s="20">
        <f>C46*J46*K46</f>
        <v>54.194</v>
      </c>
      <c r="O46" s="20" t="e">
        <f>#REF!*J46*L46</f>
        <v>#REF!</v>
      </c>
      <c r="P46" s="20" t="e">
        <f>SUM(N46:O46)</f>
        <v>#REF!</v>
      </c>
      <c r="Q46" s="21"/>
      <c r="R46" s="22">
        <v>1.47</v>
      </c>
      <c r="S46">
        <v>1.58</v>
      </c>
      <c r="T46">
        <v>6</v>
      </c>
      <c r="U46">
        <v>6</v>
      </c>
      <c r="V46">
        <f>R46*J46*T46</f>
        <v>30.2526</v>
      </c>
      <c r="W46">
        <f>S46*U46*J46</f>
        <v>32.516400000000004</v>
      </c>
      <c r="X46">
        <f>SUM(V46:W46)</f>
        <v>62.769000000000005</v>
      </c>
      <c r="AD46" t="e">
        <f>#REF!</f>
        <v>#REF!</v>
      </c>
      <c r="AE46">
        <v>3.05</v>
      </c>
      <c r="AF46">
        <v>3.43</v>
      </c>
      <c r="AK46">
        <v>3.43</v>
      </c>
      <c r="AN46" s="69">
        <f>C7</f>
        <v>636.1</v>
      </c>
      <c r="AO46">
        <v>1.89</v>
      </c>
      <c r="AP46">
        <v>3.43</v>
      </c>
    </row>
    <row r="47" spans="1:17" ht="18.75">
      <c r="A47" s="55"/>
      <c r="B47" s="56"/>
      <c r="C47" s="55"/>
      <c r="D47" s="55"/>
      <c r="E47" s="55"/>
      <c r="F47" s="55"/>
      <c r="G47" s="55"/>
      <c r="H47" s="55"/>
      <c r="Q47" s="24"/>
    </row>
    <row r="48" spans="1:17" ht="18.75" customHeight="1">
      <c r="A48" s="179" t="s">
        <v>941</v>
      </c>
      <c r="B48" s="179"/>
      <c r="C48" s="193">
        <v>21540.95</v>
      </c>
      <c r="D48" s="193"/>
      <c r="E48" s="55" t="s">
        <v>18</v>
      </c>
      <c r="F48" s="55"/>
      <c r="G48" s="55"/>
      <c r="H48" s="55"/>
      <c r="Q48" s="24"/>
    </row>
    <row r="49" spans="1:17" ht="18.75" customHeight="1">
      <c r="A49" s="179" t="s">
        <v>942</v>
      </c>
      <c r="B49" s="179"/>
      <c r="C49" s="193">
        <v>12414.83</v>
      </c>
      <c r="D49" s="193"/>
      <c r="E49" s="55" t="s">
        <v>18</v>
      </c>
      <c r="F49" s="55"/>
      <c r="G49" s="55"/>
      <c r="H49" s="55"/>
      <c r="Q49" s="24"/>
    </row>
    <row r="50" spans="1:8" ht="18.75">
      <c r="A50" s="207" t="s">
        <v>17</v>
      </c>
      <c r="B50" s="207"/>
      <c r="C50" s="207"/>
      <c r="D50" s="207"/>
      <c r="E50" s="207"/>
      <c r="F50" s="207"/>
      <c r="G50" s="207"/>
      <c r="H50" s="55"/>
    </row>
    <row r="51" spans="1:8" ht="18.75" customHeight="1" hidden="1">
      <c r="A51" s="206" t="s">
        <v>35</v>
      </c>
      <c r="B51" s="206"/>
      <c r="C51" s="52" t="e">
        <f>C48-#REF!</f>
        <v>#REF!</v>
      </c>
      <c r="D51" s="55" t="s">
        <v>18</v>
      </c>
      <c r="E51" s="55"/>
      <c r="F51" s="55"/>
      <c r="G51" s="55"/>
      <c r="H51" s="55"/>
    </row>
    <row r="52" spans="1:8" ht="18.75" customHeight="1" hidden="1">
      <c r="A52" s="206" t="s">
        <v>36</v>
      </c>
      <c r="B52" s="206"/>
      <c r="C52" s="96">
        <f>E45-F45</f>
        <v>-9977.859999999986</v>
      </c>
      <c r="D52" s="96" t="str">
        <f>D51</f>
        <v>рублей</v>
      </c>
      <c r="E52" s="70"/>
      <c r="F52" s="70"/>
      <c r="G52" s="70"/>
      <c r="H52" s="60"/>
    </row>
    <row r="53" spans="1:8" ht="18.75">
      <c r="A53" s="70"/>
      <c r="B53" s="70"/>
      <c r="C53" s="70"/>
      <c r="D53" s="70"/>
      <c r="E53" s="70"/>
      <c r="F53" s="70"/>
      <c r="G53" s="70"/>
      <c r="H53" s="70"/>
    </row>
  </sheetData>
  <sheetProtection/>
  <mergeCells count="18">
    <mergeCell ref="C49:D49"/>
    <mergeCell ref="A1:G2"/>
    <mergeCell ref="A3:G3"/>
    <mergeCell ref="A4:H5"/>
    <mergeCell ref="F9:F11"/>
    <mergeCell ref="G9:G11"/>
    <mergeCell ref="A48:B48"/>
    <mergeCell ref="A49:B49"/>
    <mergeCell ref="A50:G50"/>
    <mergeCell ref="A51:B51"/>
    <mergeCell ref="A52:B52"/>
    <mergeCell ref="J9:Q12"/>
    <mergeCell ref="R9:X12"/>
    <mergeCell ref="A9:A11"/>
    <mergeCell ref="B9:B11"/>
    <mergeCell ref="C9:D10"/>
    <mergeCell ref="E9:E11"/>
    <mergeCell ref="C48:D4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  <colBreaks count="1" manualBreakCount="1">
    <brk id="7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AP55"/>
  <sheetViews>
    <sheetView view="pageBreakPreview" zoomScale="75" zoomScaleSheetLayoutView="75" zoomScalePageLayoutView="0" workbookViewId="0" topLeftCell="A19">
      <selection activeCell="E46" sqref="E46"/>
    </sheetView>
  </sheetViews>
  <sheetFormatPr defaultColWidth="9.00390625" defaultRowHeight="12.75"/>
  <cols>
    <col min="1" max="1" width="9.375" style="0" bestFit="1" customWidth="1"/>
    <col min="2" max="2" width="50.125" style="0" customWidth="1"/>
    <col min="3" max="3" width="9.625" style="0" customWidth="1"/>
    <col min="4" max="4" width="12.125" style="0" customWidth="1"/>
    <col min="5" max="5" width="14.125" style="0" customWidth="1"/>
    <col min="6" max="6" width="15.75390625" style="0" bestFit="1" customWidth="1"/>
    <col min="7" max="7" width="13.375" style="0" bestFit="1" customWidth="1"/>
    <col min="8" max="8" width="9.375" style="0" hidden="1" customWidth="1"/>
    <col min="9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31" width="0" style="0" hidden="1" customWidth="1"/>
  </cols>
  <sheetData>
    <row r="1" spans="1:8" ht="18.75">
      <c r="A1" s="193" t="s">
        <v>25</v>
      </c>
      <c r="B1" s="193"/>
      <c r="C1" s="193"/>
      <c r="D1" s="193"/>
      <c r="E1" s="193"/>
      <c r="F1" s="193"/>
      <c r="G1" s="193"/>
      <c r="H1" s="55"/>
    </row>
    <row r="2" spans="1:8" ht="18.75">
      <c r="A2" s="193"/>
      <c r="B2" s="193"/>
      <c r="C2" s="193"/>
      <c r="D2" s="193"/>
      <c r="E2" s="193"/>
      <c r="F2" s="193"/>
      <c r="G2" s="193"/>
      <c r="H2" s="55"/>
    </row>
    <row r="3" spans="1:8" ht="42.75" customHeight="1">
      <c r="A3" s="193" t="s">
        <v>65</v>
      </c>
      <c r="B3" s="193"/>
      <c r="C3" s="193"/>
      <c r="D3" s="193"/>
      <c r="E3" s="193"/>
      <c r="F3" s="193"/>
      <c r="G3" s="193"/>
      <c r="H3" s="52"/>
    </row>
    <row r="4" spans="1:8" ht="12.75">
      <c r="A4" s="193" t="s">
        <v>110</v>
      </c>
      <c r="B4" s="193"/>
      <c r="C4" s="193"/>
      <c r="D4" s="193"/>
      <c r="E4" s="193"/>
      <c r="F4" s="193"/>
      <c r="G4" s="193"/>
      <c r="H4" s="193"/>
    </row>
    <row r="5" spans="1:8" ht="12.75">
      <c r="A5" s="193"/>
      <c r="B5" s="193"/>
      <c r="C5" s="193"/>
      <c r="D5" s="193"/>
      <c r="E5" s="193"/>
      <c r="F5" s="193"/>
      <c r="G5" s="193"/>
      <c r="H5" s="193"/>
    </row>
    <row r="6" spans="1:8" ht="18.75">
      <c r="A6" s="52"/>
      <c r="B6" s="52"/>
      <c r="C6" s="52"/>
      <c r="D6" s="52"/>
      <c r="E6" s="52"/>
      <c r="F6" s="52"/>
      <c r="G6" s="52"/>
      <c r="H6" s="52"/>
    </row>
    <row r="7" spans="1:8" ht="22.5">
      <c r="A7" s="59"/>
      <c r="B7" s="57" t="s">
        <v>5</v>
      </c>
      <c r="C7" s="52">
        <v>465.95</v>
      </c>
      <c r="D7" s="52" t="s">
        <v>31</v>
      </c>
      <c r="E7" s="55"/>
      <c r="F7" s="55"/>
      <c r="G7" s="55"/>
      <c r="H7" s="55"/>
    </row>
    <row r="8" spans="1:8" ht="18.75">
      <c r="A8" s="59"/>
      <c r="B8" s="52"/>
      <c r="C8" s="52"/>
      <c r="D8" s="52"/>
      <c r="E8" s="52"/>
      <c r="F8" s="52"/>
      <c r="G8" s="52"/>
      <c r="H8" s="52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44" t="s">
        <v>99</v>
      </c>
      <c r="F9" s="247" t="s">
        <v>74</v>
      </c>
      <c r="G9" s="244" t="s">
        <v>218</v>
      </c>
      <c r="H9" s="53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60" customHeight="1">
      <c r="A10" s="212"/>
      <c r="B10" s="212"/>
      <c r="C10" s="216"/>
      <c r="D10" s="217"/>
      <c r="E10" s="245"/>
      <c r="F10" s="248"/>
      <c r="G10" s="245"/>
      <c r="H10" s="53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120" customHeight="1">
      <c r="A11" s="213"/>
      <c r="B11" s="213"/>
      <c r="C11" s="124" t="s">
        <v>107</v>
      </c>
      <c r="D11" s="124" t="s">
        <v>106</v>
      </c>
      <c r="E11" s="246"/>
      <c r="F11" s="249"/>
      <c r="G11" s="246"/>
      <c r="H11" s="53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42" t="s">
        <v>12</v>
      </c>
      <c r="B12" s="53" t="s">
        <v>20</v>
      </c>
      <c r="C12" s="74"/>
      <c r="D12" s="74"/>
      <c r="E12" s="42"/>
      <c r="F12" s="42"/>
      <c r="G12" s="42"/>
      <c r="H12" s="53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4" ht="18.75">
      <c r="A13" s="42" t="s">
        <v>13</v>
      </c>
      <c r="B13" s="53" t="s">
        <v>10</v>
      </c>
      <c r="C13" s="34">
        <v>1.09</v>
      </c>
      <c r="D13" s="34">
        <v>1.14</v>
      </c>
      <c r="E13" s="42">
        <f aca="true" t="shared" si="0" ref="E13:E18">AF13*6*AG13</f>
        <v>6234.410999999999</v>
      </c>
      <c r="F13" s="42">
        <f>E13</f>
        <v>6234.410999999999</v>
      </c>
      <c r="G13" s="42">
        <f aca="true" t="shared" si="1" ref="G13:G18">AF13*12*AH13</f>
        <v>6374.195999999999</v>
      </c>
      <c r="H13" s="53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465.95</v>
      </c>
      <c r="K13">
        <v>6</v>
      </c>
      <c r="L13">
        <v>2</v>
      </c>
      <c r="M13">
        <v>4</v>
      </c>
      <c r="N13" s="20">
        <f aca="true" t="shared" si="4" ref="N13:N18">C13*J13*K13</f>
        <v>3047.313</v>
      </c>
      <c r="O13" s="20" t="e">
        <f>J13*#REF!*L13</f>
        <v>#REF!</v>
      </c>
      <c r="P13" s="20">
        <f aca="true" t="shared" si="5" ref="P13:P18">D13*J13*M13</f>
        <v>2124.732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2935.485</v>
      </c>
      <c r="W13">
        <f aca="true" t="shared" si="8" ref="W13:W18">U13*S13*J13</f>
        <v>3047.3130000000006</v>
      </c>
      <c r="X13">
        <f aca="true" t="shared" si="9" ref="X13:X18">SUM(V13:W13)</f>
        <v>5982.798000000001</v>
      </c>
      <c r="AF13" s="69">
        <f>C7</f>
        <v>465.95</v>
      </c>
      <c r="AG13" s="22">
        <f aca="true" t="shared" si="10" ref="AG13:AG18">C13+D13</f>
        <v>2.23</v>
      </c>
      <c r="AH13" s="34">
        <v>1.14</v>
      </c>
    </row>
    <row r="14" spans="1:34" ht="37.5">
      <c r="A14" s="42" t="s">
        <v>14</v>
      </c>
      <c r="B14" s="53" t="s">
        <v>15</v>
      </c>
      <c r="C14" s="34">
        <v>1.39</v>
      </c>
      <c r="D14" s="34">
        <v>1.46</v>
      </c>
      <c r="E14" s="42">
        <f t="shared" si="0"/>
        <v>7967.744999999998</v>
      </c>
      <c r="F14" s="99">
        <f>E14</f>
        <v>7967.744999999998</v>
      </c>
      <c r="G14" s="42">
        <f t="shared" si="1"/>
        <v>8163.4439999999995</v>
      </c>
      <c r="H14" s="53">
        <f t="shared" si="2"/>
        <v>1.4594110115189</v>
      </c>
      <c r="I14" s="18">
        <f t="shared" si="3"/>
        <v>1.5572983354607999</v>
      </c>
      <c r="J14" s="19">
        <f>J13</f>
        <v>465.95</v>
      </c>
      <c r="K14">
        <v>6</v>
      </c>
      <c r="L14">
        <v>2</v>
      </c>
      <c r="M14">
        <v>4</v>
      </c>
      <c r="N14" s="20">
        <f t="shared" si="4"/>
        <v>3886.0229999999997</v>
      </c>
      <c r="O14" s="20" t="e">
        <f>J14*#REF!*L14</f>
        <v>#REF!</v>
      </c>
      <c r="P14" s="20">
        <f t="shared" si="5"/>
        <v>2721.1479999999997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3718.2810000000004</v>
      </c>
      <c r="W14">
        <f t="shared" si="8"/>
        <v>3886.0229999999997</v>
      </c>
      <c r="X14">
        <f t="shared" si="9"/>
        <v>7604.304</v>
      </c>
      <c r="AF14">
        <f>AF13</f>
        <v>465.95</v>
      </c>
      <c r="AG14" s="22">
        <f t="shared" si="10"/>
        <v>2.8499999999999996</v>
      </c>
      <c r="AH14" s="34">
        <v>1.46</v>
      </c>
    </row>
    <row r="15" spans="1:34" ht="18.75">
      <c r="A15" s="42" t="s">
        <v>16</v>
      </c>
      <c r="B15" s="53" t="s">
        <v>7</v>
      </c>
      <c r="C15" s="34"/>
      <c r="D15" s="34"/>
      <c r="E15" s="42"/>
      <c r="F15" s="99"/>
      <c r="G15" s="42"/>
      <c r="H15" s="53"/>
      <c r="I15" s="18"/>
      <c r="J15" s="19"/>
      <c r="N15" s="20"/>
      <c r="O15" s="20"/>
      <c r="P15" s="20"/>
      <c r="Q15" s="21"/>
      <c r="R15" s="22"/>
      <c r="S15" s="22"/>
      <c r="AG15" s="22"/>
      <c r="AH15" s="34"/>
    </row>
    <row r="16" spans="1:34" ht="18.75">
      <c r="A16" s="42" t="s">
        <v>21</v>
      </c>
      <c r="B16" s="53" t="s">
        <v>11</v>
      </c>
      <c r="C16" s="34">
        <v>0.82</v>
      </c>
      <c r="D16" s="34">
        <v>0.58</v>
      </c>
      <c r="E16" s="42">
        <f t="shared" si="0"/>
        <v>3913.9799999999996</v>
      </c>
      <c r="F16" s="99">
        <f>E16</f>
        <v>3913.9799999999996</v>
      </c>
      <c r="G16" s="42">
        <f t="shared" si="1"/>
        <v>3243.0119999999997</v>
      </c>
      <c r="H16" s="53">
        <f t="shared" si="2"/>
        <v>0.8609475031982</v>
      </c>
      <c r="I16" s="18">
        <f t="shared" si="3"/>
        <v>0.9186939820703999</v>
      </c>
      <c r="J16" s="19">
        <f>J15</f>
        <v>0</v>
      </c>
      <c r="K16">
        <v>6</v>
      </c>
      <c r="L16">
        <v>2</v>
      </c>
      <c r="M16">
        <v>4</v>
      </c>
      <c r="N16" s="20">
        <f t="shared" si="4"/>
        <v>0</v>
      </c>
      <c r="O16" s="20" t="e">
        <f>J16*#REF!*L16</f>
        <v>#REF!</v>
      </c>
      <c r="P16" s="20">
        <f t="shared" si="5"/>
        <v>0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0</v>
      </c>
      <c r="W16">
        <f t="shared" si="8"/>
        <v>0</v>
      </c>
      <c r="X16">
        <f t="shared" si="9"/>
        <v>0</v>
      </c>
      <c r="AF16">
        <f>AF14</f>
        <v>465.95</v>
      </c>
      <c r="AG16" s="22">
        <f t="shared" si="10"/>
        <v>1.4</v>
      </c>
      <c r="AH16" s="34">
        <v>0.58</v>
      </c>
    </row>
    <row r="17" spans="1:34" ht="18.75">
      <c r="A17" s="42" t="s">
        <v>22</v>
      </c>
      <c r="B17" s="53" t="s">
        <v>19</v>
      </c>
      <c r="C17" s="34">
        <v>1.24</v>
      </c>
      <c r="D17" s="34">
        <v>1.24</v>
      </c>
      <c r="E17" s="42">
        <f t="shared" si="0"/>
        <v>6933.335999999999</v>
      </c>
      <c r="F17" s="99">
        <f>E17</f>
        <v>6933.335999999999</v>
      </c>
      <c r="G17" s="42">
        <f t="shared" si="1"/>
        <v>6933.335999999999</v>
      </c>
      <c r="H17" s="53">
        <f t="shared" si="2"/>
        <v>1.3019206145924</v>
      </c>
      <c r="I17" s="18">
        <f t="shared" si="3"/>
        <v>1.3892445582528</v>
      </c>
      <c r="J17" s="19">
        <f>J16</f>
        <v>0</v>
      </c>
      <c r="K17">
        <v>6</v>
      </c>
      <c r="L17">
        <v>2</v>
      </c>
      <c r="M17">
        <v>4</v>
      </c>
      <c r="N17" s="20">
        <f t="shared" si="4"/>
        <v>0</v>
      </c>
      <c r="O17" s="20" t="e">
        <f>J17*#REF!*L17</f>
        <v>#REF!</v>
      </c>
      <c r="P17" s="20">
        <f t="shared" si="5"/>
        <v>0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0</v>
      </c>
      <c r="W17">
        <f t="shared" si="8"/>
        <v>0</v>
      </c>
      <c r="X17">
        <f t="shared" si="9"/>
        <v>0</v>
      </c>
      <c r="AF17">
        <f>AF16</f>
        <v>465.95</v>
      </c>
      <c r="AG17" s="22">
        <f t="shared" si="10"/>
        <v>2.48</v>
      </c>
      <c r="AH17" s="34">
        <v>1.24</v>
      </c>
    </row>
    <row r="18" spans="1:34" ht="75">
      <c r="A18" s="42" t="s">
        <v>23</v>
      </c>
      <c r="B18" s="53" t="s">
        <v>24</v>
      </c>
      <c r="C18" s="34">
        <v>4.47</v>
      </c>
      <c r="D18" s="34">
        <v>5.18</v>
      </c>
      <c r="E18" s="42">
        <f t="shared" si="0"/>
        <v>26978.504999999994</v>
      </c>
      <c r="F18" s="99">
        <f>F20+F21+F23+F24+F26+F28+F30+F31+F33+F35+F37+F38+F40+F42+F43</f>
        <v>18606.999999999996</v>
      </c>
      <c r="G18" s="42">
        <f t="shared" si="1"/>
        <v>28963.451999999997</v>
      </c>
      <c r="H18" s="53">
        <f t="shared" si="2"/>
        <v>4.6932138284097</v>
      </c>
      <c r="I18" s="18">
        <f t="shared" si="3"/>
        <v>5.008002560798399</v>
      </c>
      <c r="J18" s="19">
        <f>J17</f>
        <v>0</v>
      </c>
      <c r="K18">
        <v>6</v>
      </c>
      <c r="L18">
        <v>2</v>
      </c>
      <c r="M18">
        <v>4</v>
      </c>
      <c r="N18" s="20">
        <f t="shared" si="4"/>
        <v>0</v>
      </c>
      <c r="O18" s="20" t="e">
        <f>J18*#REF!*L18</f>
        <v>#REF!</v>
      </c>
      <c r="P18" s="20">
        <f t="shared" si="5"/>
        <v>0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0</v>
      </c>
      <c r="W18">
        <f t="shared" si="8"/>
        <v>0</v>
      </c>
      <c r="X18">
        <f t="shared" si="9"/>
        <v>0</v>
      </c>
      <c r="AF18">
        <f>AF17</f>
        <v>465.95</v>
      </c>
      <c r="AG18" s="22">
        <f t="shared" si="10"/>
        <v>9.649999999999999</v>
      </c>
      <c r="AH18" s="34">
        <v>5.18</v>
      </c>
    </row>
    <row r="19" spans="1:19" ht="18.75">
      <c r="A19" s="42"/>
      <c r="B19" s="42" t="s">
        <v>75</v>
      </c>
      <c r="C19" s="74"/>
      <c r="D19" s="74"/>
      <c r="E19" s="42"/>
      <c r="F19" s="99"/>
      <c r="G19" s="42"/>
      <c r="H19" s="53"/>
      <c r="I19" s="18"/>
      <c r="J19" s="19"/>
      <c r="N19" s="20"/>
      <c r="O19" s="20"/>
      <c r="P19" s="20"/>
      <c r="Q19" s="21"/>
      <c r="R19" s="22"/>
      <c r="S19" s="22"/>
    </row>
    <row r="20" spans="1:19" ht="18.75">
      <c r="A20" s="42"/>
      <c r="B20" s="53" t="s">
        <v>713</v>
      </c>
      <c r="C20" s="74"/>
      <c r="D20" s="74"/>
      <c r="E20" s="42"/>
      <c r="F20" s="100">
        <v>1990.95</v>
      </c>
      <c r="G20" s="42"/>
      <c r="H20" s="53"/>
      <c r="I20" s="18"/>
      <c r="J20" s="19"/>
      <c r="N20" s="20"/>
      <c r="O20" s="20"/>
      <c r="P20" s="20"/>
      <c r="Q20" s="21"/>
      <c r="R20" s="22"/>
      <c r="S20" s="22"/>
    </row>
    <row r="21" spans="1:19" ht="37.5">
      <c r="A21" s="42"/>
      <c r="B21" s="53" t="s">
        <v>714</v>
      </c>
      <c r="C21" s="74"/>
      <c r="D21" s="74"/>
      <c r="E21" s="42"/>
      <c r="F21" s="100">
        <v>1092.83</v>
      </c>
      <c r="G21" s="42"/>
      <c r="H21" s="53"/>
      <c r="I21" s="18"/>
      <c r="J21" s="19"/>
      <c r="N21" s="20"/>
      <c r="O21" s="20"/>
      <c r="P21" s="20"/>
      <c r="Q21" s="21"/>
      <c r="R21" s="22"/>
      <c r="S21" s="22"/>
    </row>
    <row r="22" spans="1:19" ht="18.75">
      <c r="A22" s="42"/>
      <c r="B22" s="42" t="s">
        <v>221</v>
      </c>
      <c r="C22" s="74"/>
      <c r="D22" s="74"/>
      <c r="E22" s="42"/>
      <c r="F22" s="100"/>
      <c r="G22" s="42"/>
      <c r="H22" s="53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42"/>
      <c r="B23" s="53" t="s">
        <v>715</v>
      </c>
      <c r="C23" s="74"/>
      <c r="D23" s="74"/>
      <c r="E23" s="42"/>
      <c r="F23" s="100">
        <v>249.16</v>
      </c>
      <c r="G23" s="42"/>
      <c r="H23" s="53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42"/>
      <c r="B24" s="53" t="s">
        <v>716</v>
      </c>
      <c r="C24" s="74"/>
      <c r="D24" s="74"/>
      <c r="E24" s="42"/>
      <c r="F24" s="100">
        <v>784.54</v>
      </c>
      <c r="G24" s="42"/>
      <c r="H24" s="53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42"/>
      <c r="B25" s="42" t="s">
        <v>514</v>
      </c>
      <c r="C25" s="74"/>
      <c r="D25" s="74"/>
      <c r="E25" s="42"/>
      <c r="F25" s="100"/>
      <c r="G25" s="42"/>
      <c r="H25" s="53"/>
      <c r="I25" s="18"/>
      <c r="J25" s="19"/>
      <c r="N25" s="20"/>
      <c r="O25" s="20"/>
      <c r="P25" s="20"/>
      <c r="Q25" s="21"/>
      <c r="R25" s="22"/>
      <c r="S25" s="22"/>
    </row>
    <row r="26" spans="1:19" ht="37.5">
      <c r="A26" s="42"/>
      <c r="B26" s="53" t="s">
        <v>717</v>
      </c>
      <c r="C26" s="74"/>
      <c r="D26" s="74"/>
      <c r="E26" s="42"/>
      <c r="F26" s="100">
        <v>1447.28</v>
      </c>
      <c r="G26" s="42"/>
      <c r="H26" s="53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42"/>
      <c r="B27" s="42" t="s">
        <v>90</v>
      </c>
      <c r="C27" s="74"/>
      <c r="D27" s="74"/>
      <c r="E27" s="42"/>
      <c r="F27" s="100"/>
      <c r="G27" s="42"/>
      <c r="H27" s="53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42"/>
      <c r="B28" s="53" t="s">
        <v>718</v>
      </c>
      <c r="C28" s="74"/>
      <c r="D28" s="74"/>
      <c r="E28" s="42"/>
      <c r="F28" s="100">
        <v>124.58</v>
      </c>
      <c r="G28" s="42"/>
      <c r="H28" s="53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42"/>
      <c r="B29" s="42" t="s">
        <v>539</v>
      </c>
      <c r="C29" s="74"/>
      <c r="D29" s="74"/>
      <c r="E29" s="42"/>
      <c r="F29" s="100"/>
      <c r="G29" s="42"/>
      <c r="H29" s="53"/>
      <c r="I29" s="18"/>
      <c r="J29" s="19"/>
      <c r="N29" s="20"/>
      <c r="O29" s="20"/>
      <c r="P29" s="20"/>
      <c r="Q29" s="21"/>
      <c r="R29" s="22"/>
      <c r="S29" s="22"/>
    </row>
    <row r="30" spans="1:19" ht="18.75">
      <c r="A30" s="42"/>
      <c r="B30" s="53" t="s">
        <v>719</v>
      </c>
      <c r="C30" s="74"/>
      <c r="D30" s="74"/>
      <c r="E30" s="42"/>
      <c r="F30" s="100">
        <v>2510.31</v>
      </c>
      <c r="G30" s="42"/>
      <c r="H30" s="53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42"/>
      <c r="B31" s="53" t="s">
        <v>307</v>
      </c>
      <c r="C31" s="74"/>
      <c r="D31" s="74"/>
      <c r="E31" s="42"/>
      <c r="F31" s="100">
        <v>321.94</v>
      </c>
      <c r="G31" s="42"/>
      <c r="H31" s="53"/>
      <c r="I31" s="18"/>
      <c r="J31" s="19"/>
      <c r="N31" s="20"/>
      <c r="O31" s="20"/>
      <c r="P31" s="20"/>
      <c r="Q31" s="21"/>
      <c r="R31" s="22"/>
      <c r="S31" s="22"/>
    </row>
    <row r="32" spans="1:19" ht="18.75">
      <c r="A32" s="42"/>
      <c r="B32" s="42" t="s">
        <v>124</v>
      </c>
      <c r="C32" s="74"/>
      <c r="D32" s="74"/>
      <c r="E32" s="42"/>
      <c r="F32" s="100"/>
      <c r="G32" s="42"/>
      <c r="H32" s="53"/>
      <c r="I32" s="18"/>
      <c r="J32" s="19"/>
      <c r="N32" s="20"/>
      <c r="O32" s="20"/>
      <c r="P32" s="20"/>
      <c r="Q32" s="21"/>
      <c r="R32" s="22"/>
      <c r="S32" s="22"/>
    </row>
    <row r="33" spans="1:19" ht="18.75">
      <c r="A33" s="42"/>
      <c r="B33" s="53" t="s">
        <v>720</v>
      </c>
      <c r="C33" s="74"/>
      <c r="D33" s="74"/>
      <c r="E33" s="42"/>
      <c r="F33" s="100">
        <v>2077.5</v>
      </c>
      <c r="G33" s="42"/>
      <c r="H33" s="53"/>
      <c r="I33" s="18"/>
      <c r="J33" s="19"/>
      <c r="N33" s="20"/>
      <c r="O33" s="20"/>
      <c r="P33" s="20"/>
      <c r="Q33" s="21"/>
      <c r="R33" s="22"/>
      <c r="S33" s="22"/>
    </row>
    <row r="34" spans="1:19" ht="18.75">
      <c r="A34" s="42"/>
      <c r="B34" s="42" t="s">
        <v>93</v>
      </c>
      <c r="C34" s="74"/>
      <c r="D34" s="74"/>
      <c r="E34" s="42"/>
      <c r="F34" s="100"/>
      <c r="G34" s="42"/>
      <c r="H34" s="53"/>
      <c r="I34" s="18"/>
      <c r="J34" s="19"/>
      <c r="N34" s="20"/>
      <c r="O34" s="20"/>
      <c r="P34" s="20"/>
      <c r="Q34" s="21"/>
      <c r="R34" s="22"/>
      <c r="S34" s="22"/>
    </row>
    <row r="35" spans="1:19" ht="18.75">
      <c r="A35" s="42"/>
      <c r="B35" s="78" t="s">
        <v>721</v>
      </c>
      <c r="C35" s="74"/>
      <c r="D35" s="74"/>
      <c r="E35" s="42"/>
      <c r="F35" s="100">
        <v>498.32</v>
      </c>
      <c r="G35" s="42"/>
      <c r="H35" s="53"/>
      <c r="I35" s="18"/>
      <c r="J35" s="19"/>
      <c r="N35" s="20"/>
      <c r="O35" s="20"/>
      <c r="P35" s="20"/>
      <c r="Q35" s="21"/>
      <c r="R35" s="22"/>
      <c r="S35" s="22"/>
    </row>
    <row r="36" spans="1:19" ht="18.75">
      <c r="A36" s="42"/>
      <c r="B36" s="42" t="s">
        <v>95</v>
      </c>
      <c r="C36" s="74"/>
      <c r="D36" s="74"/>
      <c r="E36" s="42"/>
      <c r="F36" s="100"/>
      <c r="G36" s="42"/>
      <c r="H36" s="53"/>
      <c r="I36" s="18"/>
      <c r="J36" s="19"/>
      <c r="N36" s="20"/>
      <c r="O36" s="20"/>
      <c r="P36" s="20"/>
      <c r="Q36" s="21"/>
      <c r="R36" s="22"/>
      <c r="S36" s="22"/>
    </row>
    <row r="37" spans="1:19" ht="18.75">
      <c r="A37" s="42"/>
      <c r="B37" s="42" t="s">
        <v>725</v>
      </c>
      <c r="C37" s="74"/>
      <c r="D37" s="74"/>
      <c r="E37" s="42"/>
      <c r="F37" s="100">
        <v>716.17</v>
      </c>
      <c r="G37" s="42"/>
      <c r="H37" s="53"/>
      <c r="I37" s="18"/>
      <c r="J37" s="19"/>
      <c r="N37" s="20"/>
      <c r="O37" s="20"/>
      <c r="P37" s="20"/>
      <c r="Q37" s="21"/>
      <c r="R37" s="22"/>
      <c r="S37" s="22"/>
    </row>
    <row r="38" spans="1:19" ht="18.75">
      <c r="A38" s="42"/>
      <c r="B38" s="78" t="s">
        <v>722</v>
      </c>
      <c r="C38" s="74"/>
      <c r="D38" s="74"/>
      <c r="E38" s="42"/>
      <c r="F38" s="100">
        <v>1245.8</v>
      </c>
      <c r="G38" s="42"/>
      <c r="H38" s="53"/>
      <c r="I38" s="18"/>
      <c r="J38" s="19"/>
      <c r="N38" s="20"/>
      <c r="O38" s="20"/>
      <c r="P38" s="20"/>
      <c r="Q38" s="21"/>
      <c r="R38" s="22"/>
      <c r="S38" s="22"/>
    </row>
    <row r="39" spans="1:19" ht="18.75">
      <c r="A39" s="42"/>
      <c r="B39" s="42" t="s">
        <v>96</v>
      </c>
      <c r="C39" s="74"/>
      <c r="D39" s="74"/>
      <c r="E39" s="42"/>
      <c r="F39" s="100"/>
      <c r="G39" s="42"/>
      <c r="H39" s="53"/>
      <c r="I39" s="18"/>
      <c r="J39" s="19"/>
      <c r="N39" s="20"/>
      <c r="O39" s="20"/>
      <c r="P39" s="20"/>
      <c r="Q39" s="21"/>
      <c r="R39" s="22"/>
      <c r="S39" s="22"/>
    </row>
    <row r="40" spans="1:19" ht="18.75">
      <c r="A40" s="42"/>
      <c r="B40" s="78" t="s">
        <v>267</v>
      </c>
      <c r="C40" s="74"/>
      <c r="D40" s="74"/>
      <c r="E40" s="42"/>
      <c r="F40" s="100">
        <v>996.64</v>
      </c>
      <c r="G40" s="42"/>
      <c r="H40" s="53"/>
      <c r="I40" s="18"/>
      <c r="J40" s="19"/>
      <c r="N40" s="20"/>
      <c r="O40" s="20"/>
      <c r="P40" s="20"/>
      <c r="Q40" s="21"/>
      <c r="R40" s="22"/>
      <c r="S40" s="22"/>
    </row>
    <row r="41" spans="1:19" ht="18.75">
      <c r="A41" s="42"/>
      <c r="B41" s="42" t="s">
        <v>97</v>
      </c>
      <c r="C41" s="74"/>
      <c r="D41" s="74"/>
      <c r="E41" s="42"/>
      <c r="F41" s="100"/>
      <c r="G41" s="42"/>
      <c r="H41" s="53"/>
      <c r="I41" s="18"/>
      <c r="J41" s="19"/>
      <c r="N41" s="20"/>
      <c r="O41" s="20"/>
      <c r="P41" s="20"/>
      <c r="Q41" s="21"/>
      <c r="R41" s="22"/>
      <c r="S41" s="22"/>
    </row>
    <row r="42" spans="1:19" ht="37.5">
      <c r="A42" s="42"/>
      <c r="B42" s="78" t="s">
        <v>723</v>
      </c>
      <c r="C42" s="74"/>
      <c r="D42" s="74"/>
      <c r="E42" s="42"/>
      <c r="F42" s="100">
        <v>2819</v>
      </c>
      <c r="G42" s="42"/>
      <c r="H42" s="53"/>
      <c r="I42" s="18"/>
      <c r="J42" s="19"/>
      <c r="N42" s="20"/>
      <c r="O42" s="20"/>
      <c r="P42" s="20"/>
      <c r="Q42" s="21"/>
      <c r="R42" s="22"/>
      <c r="S42" s="22"/>
    </row>
    <row r="43" spans="1:19" ht="37.5">
      <c r="A43" s="42"/>
      <c r="B43" s="78" t="s">
        <v>724</v>
      </c>
      <c r="C43" s="74"/>
      <c r="D43" s="74"/>
      <c r="E43" s="42"/>
      <c r="F43" s="100">
        <v>1731.98</v>
      </c>
      <c r="G43" s="42"/>
      <c r="H43" s="53"/>
      <c r="I43" s="18"/>
      <c r="J43" s="19"/>
      <c r="N43" s="20"/>
      <c r="O43" s="20"/>
      <c r="P43" s="20"/>
      <c r="Q43" s="21"/>
      <c r="R43" s="22"/>
      <c r="S43" s="22"/>
    </row>
    <row r="44" spans="1:19" ht="18.75">
      <c r="A44" s="42"/>
      <c r="B44" s="78"/>
      <c r="C44" s="74"/>
      <c r="D44" s="74"/>
      <c r="E44" s="42"/>
      <c r="F44" s="100"/>
      <c r="G44" s="42"/>
      <c r="H44" s="53"/>
      <c r="I44" s="18"/>
      <c r="J44" s="19"/>
      <c r="N44" s="20"/>
      <c r="O44" s="20"/>
      <c r="P44" s="20"/>
      <c r="Q44" s="21"/>
      <c r="R44" s="22"/>
      <c r="S44" s="22"/>
    </row>
    <row r="45" spans="1:24" ht="18.75">
      <c r="A45" s="53"/>
      <c r="B45" s="53" t="s">
        <v>9</v>
      </c>
      <c r="C45" s="74">
        <f>SUM(C13:C28)</f>
        <v>9.01</v>
      </c>
      <c r="D45" s="74">
        <f>SUM(D13:D28)</f>
        <v>9.6</v>
      </c>
      <c r="E45" s="42">
        <f>SUM(E13:E28)-0.02</f>
        <v>52027.956999999995</v>
      </c>
      <c r="F45" s="42">
        <f>F13+F14+F15+F16+F17+F18</f>
        <v>43656.471999999994</v>
      </c>
      <c r="G45" s="42">
        <f>G13+G14+G15+G16+G17+G18</f>
        <v>53677.439999999995</v>
      </c>
      <c r="H45" s="53">
        <f>1.04993597951*C45</f>
        <v>9.4599231753851</v>
      </c>
      <c r="I45" s="18">
        <f>1.12035851472*C45</f>
        <v>10.094430217627199</v>
      </c>
      <c r="J45" s="19">
        <f>J18</f>
        <v>0</v>
      </c>
      <c r="N45" s="20"/>
      <c r="Q45" s="24"/>
      <c r="R45" s="22">
        <f>SUM(R13:R28)</f>
        <v>8.620000000000001</v>
      </c>
      <c r="S45" s="22">
        <f>SUM(S13:S28)</f>
        <v>9.16</v>
      </c>
      <c r="T45" s="22"/>
      <c r="U45" s="22"/>
      <c r="V45" s="22">
        <f>SUM(V13:V28)</f>
        <v>6653.7660000000005</v>
      </c>
      <c r="W45" s="22">
        <f>SUM(W13:W28)</f>
        <v>6933.336</v>
      </c>
      <c r="X45" s="22">
        <f>SUM(X13:X28)</f>
        <v>13587.102</v>
      </c>
    </row>
    <row r="46" spans="1:42" ht="20.25">
      <c r="A46" s="13">
        <v>5</v>
      </c>
      <c r="B46" s="54" t="s">
        <v>26</v>
      </c>
      <c r="C46" s="127">
        <v>1.58</v>
      </c>
      <c r="D46" s="127">
        <v>1.85</v>
      </c>
      <c r="E46" s="128">
        <f>AF46*6*AG46</f>
        <v>8526.884999999998</v>
      </c>
      <c r="F46" s="129">
        <f>E46</f>
        <v>8526.884999999998</v>
      </c>
      <c r="G46" s="129">
        <f>AH46*12*AF46</f>
        <v>10567.746</v>
      </c>
      <c r="H46" s="69" t="e">
        <f>#REF!</f>
        <v>#REF!</v>
      </c>
      <c r="I46" s="22">
        <f>C46+D46</f>
        <v>3.43</v>
      </c>
      <c r="J46" s="34">
        <v>3.43</v>
      </c>
      <c r="K46">
        <v>10</v>
      </c>
      <c r="L46">
        <v>2</v>
      </c>
      <c r="N46" s="20">
        <f>C46*J46*K46</f>
        <v>54.194</v>
      </c>
      <c r="O46" s="20" t="e">
        <f>#REF!*J46*L46</f>
        <v>#REF!</v>
      </c>
      <c r="P46" s="20" t="e">
        <f>SUM(N46:O46)</f>
        <v>#REF!</v>
      </c>
      <c r="Q46" s="21"/>
      <c r="R46" s="22">
        <v>1.47</v>
      </c>
      <c r="S46">
        <v>1.58</v>
      </c>
      <c r="T46">
        <v>6</v>
      </c>
      <c r="U46">
        <v>6</v>
      </c>
      <c r="V46">
        <f>R46*J46*T46</f>
        <v>30.2526</v>
      </c>
      <c r="W46">
        <f>S46*U46*J46</f>
        <v>32.516400000000004</v>
      </c>
      <c r="X46">
        <f>SUM(V46:W46)</f>
        <v>62.769000000000005</v>
      </c>
      <c r="AD46" t="e">
        <f>#REF!</f>
        <v>#REF!</v>
      </c>
      <c r="AE46">
        <v>3.05</v>
      </c>
      <c r="AF46" s="69">
        <f>C7</f>
        <v>465.95</v>
      </c>
      <c r="AG46">
        <v>3.05</v>
      </c>
      <c r="AH46">
        <v>1.89</v>
      </c>
      <c r="AN46" s="69">
        <f>C10</f>
        <v>0</v>
      </c>
      <c r="AO46">
        <f>C46+D46</f>
        <v>3.43</v>
      </c>
      <c r="AP46">
        <v>3.43</v>
      </c>
    </row>
    <row r="47" spans="1:17" ht="18.75">
      <c r="A47" s="55"/>
      <c r="B47" s="56"/>
      <c r="C47" s="55"/>
      <c r="D47" s="55"/>
      <c r="E47" s="55"/>
      <c r="F47" s="55"/>
      <c r="G47" s="55"/>
      <c r="H47" s="55"/>
      <c r="Q47" s="24"/>
    </row>
    <row r="48" spans="1:17" ht="18.75" customHeight="1">
      <c r="A48" s="179" t="s">
        <v>941</v>
      </c>
      <c r="B48" s="179"/>
      <c r="C48" s="250">
        <v>21861.57</v>
      </c>
      <c r="D48" s="250"/>
      <c r="E48" s="55" t="s">
        <v>18</v>
      </c>
      <c r="F48" s="55"/>
      <c r="G48" s="55"/>
      <c r="H48" s="55"/>
      <c r="Q48" s="24"/>
    </row>
    <row r="49" spans="1:17" ht="18.75" customHeight="1">
      <c r="A49" s="179" t="s">
        <v>942</v>
      </c>
      <c r="B49" s="179"/>
      <c r="C49" s="250">
        <v>15962.74</v>
      </c>
      <c r="D49" s="250"/>
      <c r="E49" s="55" t="s">
        <v>18</v>
      </c>
      <c r="F49" s="55"/>
      <c r="G49" s="55"/>
      <c r="H49" s="55"/>
      <c r="Q49" s="24"/>
    </row>
    <row r="50" spans="1:8" ht="18.75">
      <c r="A50" s="207" t="s">
        <v>17</v>
      </c>
      <c r="B50" s="207"/>
      <c r="C50" s="207"/>
      <c r="D50" s="207"/>
      <c r="E50" s="207"/>
      <c r="F50" s="207"/>
      <c r="G50" s="207"/>
      <c r="H50" s="55"/>
    </row>
    <row r="51" spans="1:8" ht="18.75" customHeight="1" hidden="1">
      <c r="A51" s="206" t="s">
        <v>35</v>
      </c>
      <c r="B51" s="206"/>
      <c r="C51" s="52" t="e">
        <f>C48-#REF!</f>
        <v>#REF!</v>
      </c>
      <c r="D51" s="55" t="s">
        <v>18</v>
      </c>
      <c r="E51" s="55"/>
      <c r="F51" s="55"/>
      <c r="G51" s="55"/>
      <c r="H51" s="55"/>
    </row>
    <row r="52" spans="1:8" ht="18.75" customHeight="1" hidden="1">
      <c r="A52" s="206" t="s">
        <v>36</v>
      </c>
      <c r="B52" s="206"/>
      <c r="C52" s="96">
        <f>E45-F45</f>
        <v>8371.485</v>
      </c>
      <c r="D52" s="96" t="str">
        <f>D51</f>
        <v>рублей</v>
      </c>
      <c r="E52" s="58"/>
      <c r="F52" s="58"/>
      <c r="G52" s="58"/>
      <c r="H52" s="60"/>
    </row>
    <row r="53" spans="1:8" ht="12.75">
      <c r="A53" s="58"/>
      <c r="B53" s="58"/>
      <c r="C53" s="58"/>
      <c r="D53" s="58"/>
      <c r="E53" s="58"/>
      <c r="F53" s="58"/>
      <c r="G53" s="58"/>
      <c r="H53" s="58"/>
    </row>
    <row r="54" spans="1:8" ht="12.75">
      <c r="A54" s="58"/>
      <c r="B54" s="58"/>
      <c r="C54" s="58"/>
      <c r="D54" s="58"/>
      <c r="E54" s="58"/>
      <c r="F54" s="58"/>
      <c r="G54" s="58"/>
      <c r="H54" s="58"/>
    </row>
    <row r="55" spans="1:8" ht="12.75">
      <c r="A55" s="58"/>
      <c r="B55" s="58"/>
      <c r="C55" s="58"/>
      <c r="D55" s="58"/>
      <c r="E55" s="58"/>
      <c r="F55" s="58"/>
      <c r="G55" s="58"/>
      <c r="H55" s="58"/>
    </row>
  </sheetData>
  <sheetProtection/>
  <mergeCells count="18">
    <mergeCell ref="A49:B49"/>
    <mergeCell ref="C48:D48"/>
    <mergeCell ref="A1:G2"/>
    <mergeCell ref="A3:G3"/>
    <mergeCell ref="A4:H5"/>
    <mergeCell ref="F9:F11"/>
    <mergeCell ref="G9:G11"/>
    <mergeCell ref="A48:B48"/>
    <mergeCell ref="A50:G50"/>
    <mergeCell ref="A51:B51"/>
    <mergeCell ref="A52:B52"/>
    <mergeCell ref="J9:Q12"/>
    <mergeCell ref="R9:X12"/>
    <mergeCell ref="A9:A11"/>
    <mergeCell ref="B9:B11"/>
    <mergeCell ref="C9:D10"/>
    <mergeCell ref="E9:E11"/>
    <mergeCell ref="C49:D4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40" max="7" man="1"/>
  </rowBreaks>
  <colBreaks count="1" manualBreakCount="1">
    <brk id="7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AQ67"/>
  <sheetViews>
    <sheetView view="pageBreakPreview" zoomScale="75" zoomScaleSheetLayoutView="75" zoomScalePageLayoutView="0" workbookViewId="0" topLeftCell="A31">
      <selection activeCell="F52" sqref="F52"/>
    </sheetView>
  </sheetViews>
  <sheetFormatPr defaultColWidth="9.00390625" defaultRowHeight="12.75"/>
  <cols>
    <col min="1" max="1" width="9.25390625" style="0" bestFit="1" customWidth="1"/>
    <col min="2" max="2" width="47.75390625" style="0" customWidth="1"/>
    <col min="3" max="3" width="11.75390625" style="0" customWidth="1"/>
    <col min="4" max="4" width="9.375" style="0" bestFit="1" customWidth="1"/>
    <col min="5" max="5" width="14.75390625" style="0" customWidth="1"/>
    <col min="6" max="6" width="15.625" style="0" bestFit="1" customWidth="1"/>
    <col min="7" max="7" width="13.375" style="0" bestFit="1" customWidth="1"/>
    <col min="8" max="8" width="9.375" style="0" hidden="1" customWidth="1"/>
    <col min="9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40" width="0" style="0" hidden="1" customWidth="1"/>
  </cols>
  <sheetData>
    <row r="1" spans="1:8" ht="18.75">
      <c r="A1" s="193" t="s">
        <v>25</v>
      </c>
      <c r="B1" s="193"/>
      <c r="C1" s="193"/>
      <c r="D1" s="193"/>
      <c r="E1" s="193"/>
      <c r="F1" s="193"/>
      <c r="G1" s="193"/>
      <c r="H1" s="55"/>
    </row>
    <row r="2" spans="1:8" ht="18.75">
      <c r="A2" s="193"/>
      <c r="B2" s="193"/>
      <c r="C2" s="193"/>
      <c r="D2" s="193"/>
      <c r="E2" s="193"/>
      <c r="F2" s="193"/>
      <c r="G2" s="193"/>
      <c r="H2" s="55"/>
    </row>
    <row r="3" spans="1:8" ht="42" customHeight="1">
      <c r="A3" s="193" t="s">
        <v>66</v>
      </c>
      <c r="B3" s="193"/>
      <c r="C3" s="193"/>
      <c r="D3" s="193"/>
      <c r="E3" s="193"/>
      <c r="F3" s="193"/>
      <c r="G3" s="193"/>
      <c r="H3" s="52"/>
    </row>
    <row r="4" spans="1:8" ht="12.75">
      <c r="A4" s="193" t="s">
        <v>110</v>
      </c>
      <c r="B4" s="193"/>
      <c r="C4" s="193"/>
      <c r="D4" s="193"/>
      <c r="E4" s="193"/>
      <c r="F4" s="193"/>
      <c r="G4" s="193"/>
      <c r="H4" s="193"/>
    </row>
    <row r="5" spans="1:8" ht="12.75">
      <c r="A5" s="193"/>
      <c r="B5" s="193"/>
      <c r="C5" s="193"/>
      <c r="D5" s="193"/>
      <c r="E5" s="193"/>
      <c r="F5" s="193"/>
      <c r="G5" s="193"/>
      <c r="H5" s="193"/>
    </row>
    <row r="6" spans="1:8" ht="18.75">
      <c r="A6" s="52"/>
      <c r="B6" s="52"/>
      <c r="C6" s="52"/>
      <c r="D6" s="52"/>
      <c r="E6" s="52"/>
      <c r="F6" s="52"/>
      <c r="G6" s="52"/>
      <c r="H6" s="52"/>
    </row>
    <row r="7" spans="1:8" ht="22.5">
      <c r="A7" s="59"/>
      <c r="B7" s="57" t="s">
        <v>5</v>
      </c>
      <c r="C7" s="52">
        <v>847.4</v>
      </c>
      <c r="D7" s="52" t="s">
        <v>31</v>
      </c>
      <c r="E7" s="55"/>
      <c r="F7" s="55"/>
      <c r="G7" s="55"/>
      <c r="H7" s="55"/>
    </row>
    <row r="8" spans="1:8" ht="18.75">
      <c r="A8" s="59"/>
      <c r="B8" s="52"/>
      <c r="C8" s="52"/>
      <c r="D8" s="52"/>
      <c r="E8" s="52"/>
      <c r="F8" s="52"/>
      <c r="G8" s="52"/>
      <c r="H8" s="52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44" t="s">
        <v>99</v>
      </c>
      <c r="F9" s="247" t="s">
        <v>74</v>
      </c>
      <c r="G9" s="244" t="s">
        <v>218</v>
      </c>
      <c r="H9" s="53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66.75" customHeight="1">
      <c r="A10" s="212"/>
      <c r="B10" s="212"/>
      <c r="C10" s="216"/>
      <c r="D10" s="217"/>
      <c r="E10" s="245"/>
      <c r="F10" s="248"/>
      <c r="G10" s="245"/>
      <c r="H10" s="53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93" customHeight="1">
      <c r="A11" s="213"/>
      <c r="B11" s="213"/>
      <c r="C11" s="124" t="s">
        <v>107</v>
      </c>
      <c r="D11" s="124" t="s">
        <v>106</v>
      </c>
      <c r="E11" s="246"/>
      <c r="F11" s="249"/>
      <c r="G11" s="246"/>
      <c r="H11" s="53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42" t="s">
        <v>12</v>
      </c>
      <c r="B12" s="53" t="s">
        <v>20</v>
      </c>
      <c r="C12" s="74"/>
      <c r="D12" s="74"/>
      <c r="E12" s="42"/>
      <c r="F12" s="42"/>
      <c r="G12" s="42"/>
      <c r="H12" s="53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43" ht="18.75">
      <c r="A13" s="42" t="s">
        <v>13</v>
      </c>
      <c r="B13" s="53" t="s">
        <v>10</v>
      </c>
      <c r="C13" s="34">
        <v>1.09</v>
      </c>
      <c r="D13" s="34">
        <v>1.14</v>
      </c>
      <c r="E13" s="42">
        <f aca="true" t="shared" si="0" ref="E13:E18">AO13*6*AP13</f>
        <v>11338.212</v>
      </c>
      <c r="F13" s="42">
        <f>E13</f>
        <v>11338.212</v>
      </c>
      <c r="G13" s="42">
        <f aca="true" t="shared" si="1" ref="G13:G18">AO13*12*AQ13</f>
        <v>11592.431999999999</v>
      </c>
      <c r="H13" s="53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847.4</v>
      </c>
      <c r="K13">
        <v>6</v>
      </c>
      <c r="L13">
        <v>2</v>
      </c>
      <c r="M13">
        <v>4</v>
      </c>
      <c r="N13" s="20">
        <f aca="true" t="shared" si="4" ref="N13:N18">C13*J13*K13</f>
        <v>5541.996</v>
      </c>
      <c r="O13" s="20" t="e">
        <f>J13*#REF!*L13</f>
        <v>#REF!</v>
      </c>
      <c r="P13" s="20">
        <f aca="true" t="shared" si="5" ref="P13:P18">D13*J13*M13</f>
        <v>3864.144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5338.62</v>
      </c>
      <c r="W13">
        <f aca="true" t="shared" si="8" ref="W13:W18">U13*S13*J13</f>
        <v>5541.996000000001</v>
      </c>
      <c r="X13">
        <f aca="true" t="shared" si="9" ref="X13:X18">SUM(V13:W13)</f>
        <v>10880.616000000002</v>
      </c>
      <c r="AO13" s="69">
        <f>C7</f>
        <v>847.4</v>
      </c>
      <c r="AP13" s="22">
        <f aca="true" t="shared" si="10" ref="AP13:AP18">C13+D13</f>
        <v>2.23</v>
      </c>
      <c r="AQ13" s="34">
        <v>1.14</v>
      </c>
    </row>
    <row r="14" spans="1:43" ht="37.5">
      <c r="A14" s="42" t="s">
        <v>14</v>
      </c>
      <c r="B14" s="53" t="s">
        <v>15</v>
      </c>
      <c r="C14" s="34">
        <v>1.39</v>
      </c>
      <c r="D14" s="34">
        <v>1.46</v>
      </c>
      <c r="E14" s="42">
        <f t="shared" si="0"/>
        <v>14490.539999999997</v>
      </c>
      <c r="F14" s="42">
        <f>E14</f>
        <v>14490.539999999997</v>
      </c>
      <c r="G14" s="42">
        <f t="shared" si="1"/>
        <v>14846.447999999999</v>
      </c>
      <c r="H14" s="53">
        <f t="shared" si="2"/>
        <v>1.4594110115189</v>
      </c>
      <c r="I14" s="18">
        <f t="shared" si="3"/>
        <v>1.5572983354607999</v>
      </c>
      <c r="J14" s="19">
        <f>J13</f>
        <v>847.4</v>
      </c>
      <c r="K14">
        <v>6</v>
      </c>
      <c r="L14">
        <v>2</v>
      </c>
      <c r="M14">
        <v>4</v>
      </c>
      <c r="N14" s="20">
        <f t="shared" si="4"/>
        <v>7067.316</v>
      </c>
      <c r="O14" s="20" t="e">
        <f>J14*#REF!*L14</f>
        <v>#REF!</v>
      </c>
      <c r="P14" s="20">
        <f t="shared" si="5"/>
        <v>4948.816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6762.2519999999995</v>
      </c>
      <c r="W14">
        <f t="shared" si="8"/>
        <v>7067.316</v>
      </c>
      <c r="X14">
        <f t="shared" si="9"/>
        <v>13829.568</v>
      </c>
      <c r="AO14">
        <f>AO13</f>
        <v>847.4</v>
      </c>
      <c r="AP14" s="22">
        <f t="shared" si="10"/>
        <v>2.8499999999999996</v>
      </c>
      <c r="AQ14" s="34">
        <v>1.46</v>
      </c>
    </row>
    <row r="15" spans="1:43" ht="18.75">
      <c r="A15" s="42" t="s">
        <v>16</v>
      </c>
      <c r="B15" s="53" t="s">
        <v>7</v>
      </c>
      <c r="C15" s="34"/>
      <c r="D15" s="34"/>
      <c r="E15" s="42"/>
      <c r="F15" s="42"/>
      <c r="G15" s="42"/>
      <c r="H15" s="53"/>
      <c r="I15" s="18"/>
      <c r="J15" s="19"/>
      <c r="N15" s="20"/>
      <c r="O15" s="20"/>
      <c r="P15" s="20"/>
      <c r="Q15" s="21"/>
      <c r="R15" s="22"/>
      <c r="S15" s="22"/>
      <c r="AP15" s="22"/>
      <c r="AQ15" s="34"/>
    </row>
    <row r="16" spans="1:43" ht="18.75">
      <c r="A16" s="42" t="s">
        <v>21</v>
      </c>
      <c r="B16" s="53" t="s">
        <v>11</v>
      </c>
      <c r="C16" s="34">
        <v>0.82</v>
      </c>
      <c r="D16" s="34">
        <v>0.58</v>
      </c>
      <c r="E16" s="42">
        <f t="shared" si="0"/>
        <v>7118.159999999999</v>
      </c>
      <c r="F16" s="42">
        <f>E16</f>
        <v>7118.159999999999</v>
      </c>
      <c r="G16" s="42">
        <f t="shared" si="1"/>
        <v>5897.9039999999995</v>
      </c>
      <c r="H16" s="53">
        <f t="shared" si="2"/>
        <v>0.8609475031982</v>
      </c>
      <c r="I16" s="18">
        <f t="shared" si="3"/>
        <v>0.9186939820703999</v>
      </c>
      <c r="J16" s="19">
        <f>J15</f>
        <v>0</v>
      </c>
      <c r="K16">
        <v>6</v>
      </c>
      <c r="L16">
        <v>2</v>
      </c>
      <c r="M16">
        <v>4</v>
      </c>
      <c r="N16" s="20">
        <f t="shared" si="4"/>
        <v>0</v>
      </c>
      <c r="O16" s="20" t="e">
        <f>J16*#REF!*L16</f>
        <v>#REF!</v>
      </c>
      <c r="P16" s="20">
        <f t="shared" si="5"/>
        <v>0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0</v>
      </c>
      <c r="W16">
        <f t="shared" si="8"/>
        <v>0</v>
      </c>
      <c r="X16">
        <f t="shared" si="9"/>
        <v>0</v>
      </c>
      <c r="AO16">
        <f>AO14</f>
        <v>847.4</v>
      </c>
      <c r="AP16" s="22">
        <f t="shared" si="10"/>
        <v>1.4</v>
      </c>
      <c r="AQ16" s="34">
        <v>0.58</v>
      </c>
    </row>
    <row r="17" spans="1:43" ht="18.75">
      <c r="A17" s="42" t="s">
        <v>22</v>
      </c>
      <c r="B17" s="53" t="s">
        <v>19</v>
      </c>
      <c r="C17" s="34">
        <v>1.24</v>
      </c>
      <c r="D17" s="34">
        <v>1.24</v>
      </c>
      <c r="E17" s="42">
        <f t="shared" si="0"/>
        <v>12609.312</v>
      </c>
      <c r="F17" s="42">
        <f>E17</f>
        <v>12609.312</v>
      </c>
      <c r="G17" s="42">
        <f t="shared" si="1"/>
        <v>12609.312</v>
      </c>
      <c r="H17" s="53">
        <f t="shared" si="2"/>
        <v>1.3019206145924</v>
      </c>
      <c r="I17" s="18">
        <f t="shared" si="3"/>
        <v>1.3892445582528</v>
      </c>
      <c r="J17" s="19">
        <f>J16</f>
        <v>0</v>
      </c>
      <c r="K17">
        <v>6</v>
      </c>
      <c r="L17">
        <v>2</v>
      </c>
      <c r="M17">
        <v>4</v>
      </c>
      <c r="N17" s="20">
        <f t="shared" si="4"/>
        <v>0</v>
      </c>
      <c r="O17" s="20" t="e">
        <f>J17*#REF!*L17</f>
        <v>#REF!</v>
      </c>
      <c r="P17" s="20">
        <f t="shared" si="5"/>
        <v>0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0</v>
      </c>
      <c r="W17">
        <f t="shared" si="8"/>
        <v>0</v>
      </c>
      <c r="X17">
        <f t="shared" si="9"/>
        <v>0</v>
      </c>
      <c r="AO17">
        <f>AO16</f>
        <v>847.4</v>
      </c>
      <c r="AP17" s="22">
        <f t="shared" si="10"/>
        <v>2.48</v>
      </c>
      <c r="AQ17" s="34">
        <v>1.24</v>
      </c>
    </row>
    <row r="18" spans="1:43" ht="75">
      <c r="A18" s="42" t="s">
        <v>23</v>
      </c>
      <c r="B18" s="53" t="s">
        <v>24</v>
      </c>
      <c r="C18" s="34">
        <v>4.47</v>
      </c>
      <c r="D18" s="34">
        <v>5.18</v>
      </c>
      <c r="E18" s="42">
        <f t="shared" si="0"/>
        <v>49064.45999999999</v>
      </c>
      <c r="F18" s="99">
        <f>F20+F22+F23+F24+F26+F27+F28+F30+F32+F34+F35+F37+F38+F40+F41+F43+F45+F46+F47+F49</f>
        <v>53644.25</v>
      </c>
      <c r="G18" s="42">
        <f t="shared" si="1"/>
        <v>52674.38399999999</v>
      </c>
      <c r="H18" s="53">
        <f t="shared" si="2"/>
        <v>4.6932138284097</v>
      </c>
      <c r="I18" s="18">
        <f t="shared" si="3"/>
        <v>5.008002560798399</v>
      </c>
      <c r="J18" s="19">
        <f>J17</f>
        <v>0</v>
      </c>
      <c r="K18">
        <v>6</v>
      </c>
      <c r="L18">
        <v>2</v>
      </c>
      <c r="M18">
        <v>4</v>
      </c>
      <c r="N18" s="20">
        <f t="shared" si="4"/>
        <v>0</v>
      </c>
      <c r="O18" s="20" t="e">
        <f>J18*#REF!*L18</f>
        <v>#REF!</v>
      </c>
      <c r="P18" s="20">
        <f t="shared" si="5"/>
        <v>0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0</v>
      </c>
      <c r="W18">
        <f t="shared" si="8"/>
        <v>0</v>
      </c>
      <c r="X18">
        <f t="shared" si="9"/>
        <v>0</v>
      </c>
      <c r="AO18">
        <f>AO17</f>
        <v>847.4</v>
      </c>
      <c r="AP18" s="22">
        <f t="shared" si="10"/>
        <v>9.649999999999999</v>
      </c>
      <c r="AQ18" s="34">
        <v>5.18</v>
      </c>
    </row>
    <row r="19" spans="1:19" ht="18.75">
      <c r="A19" s="42"/>
      <c r="B19" s="42" t="s">
        <v>75</v>
      </c>
      <c r="C19" s="74"/>
      <c r="D19" s="74"/>
      <c r="E19" s="42"/>
      <c r="F19" s="99"/>
      <c r="G19" s="42"/>
      <c r="H19" s="53"/>
      <c r="I19" s="18"/>
      <c r="J19" s="19"/>
      <c r="N19" s="20"/>
      <c r="O19" s="20"/>
      <c r="P19" s="20"/>
      <c r="Q19" s="21"/>
      <c r="R19" s="22"/>
      <c r="S19" s="22"/>
    </row>
    <row r="20" spans="1:19" ht="37.5">
      <c r="A20" s="42"/>
      <c r="B20" s="53" t="s">
        <v>726</v>
      </c>
      <c r="C20" s="74"/>
      <c r="D20" s="74"/>
      <c r="E20" s="42"/>
      <c r="F20" s="100">
        <v>3226.21</v>
      </c>
      <c r="G20" s="42"/>
      <c r="H20" s="53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42"/>
      <c r="B21" s="42" t="s">
        <v>221</v>
      </c>
      <c r="C21" s="74"/>
      <c r="D21" s="74"/>
      <c r="E21" s="42"/>
      <c r="F21" s="100"/>
      <c r="G21" s="42"/>
      <c r="H21" s="53"/>
      <c r="I21" s="18"/>
      <c r="J21" s="19"/>
      <c r="N21" s="20"/>
      <c r="O21" s="20"/>
      <c r="P21" s="20"/>
      <c r="Q21" s="21"/>
      <c r="R21" s="22"/>
      <c r="S21" s="22"/>
    </row>
    <row r="22" spans="1:19" ht="37.5">
      <c r="A22" s="42"/>
      <c r="B22" s="53" t="s">
        <v>727</v>
      </c>
      <c r="C22" s="74"/>
      <c r="D22" s="74"/>
      <c r="E22" s="42"/>
      <c r="F22" s="100">
        <v>4477.57</v>
      </c>
      <c r="G22" s="42"/>
      <c r="H22" s="53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42"/>
      <c r="B23" s="53" t="s">
        <v>728</v>
      </c>
      <c r="C23" s="74"/>
      <c r="D23" s="74"/>
      <c r="E23" s="42"/>
      <c r="F23" s="100">
        <v>1569.08</v>
      </c>
      <c r="G23" s="42"/>
      <c r="H23" s="53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42"/>
      <c r="B24" s="53" t="s">
        <v>270</v>
      </c>
      <c r="C24" s="74"/>
      <c r="D24" s="74"/>
      <c r="E24" s="42"/>
      <c r="F24" s="100">
        <v>362.32</v>
      </c>
      <c r="G24" s="42"/>
      <c r="H24" s="53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42"/>
      <c r="B25" s="42" t="s">
        <v>89</v>
      </c>
      <c r="C25" s="74"/>
      <c r="D25" s="74"/>
      <c r="E25" s="42"/>
      <c r="F25" s="100"/>
      <c r="G25" s="42"/>
      <c r="H25" s="53"/>
      <c r="I25" s="18"/>
      <c r="J25" s="19"/>
      <c r="N25" s="20"/>
      <c r="O25" s="20"/>
      <c r="P25" s="20"/>
      <c r="Q25" s="21"/>
      <c r="R25" s="22"/>
      <c r="S25" s="22"/>
    </row>
    <row r="26" spans="1:19" ht="18.75">
      <c r="A26" s="42"/>
      <c r="B26" s="53" t="s">
        <v>81</v>
      </c>
      <c r="C26" s="74"/>
      <c r="D26" s="74"/>
      <c r="E26" s="42"/>
      <c r="F26" s="100">
        <v>71.84</v>
      </c>
      <c r="G26" s="42"/>
      <c r="H26" s="53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42"/>
      <c r="B27" s="53" t="s">
        <v>214</v>
      </c>
      <c r="C27" s="74"/>
      <c r="D27" s="74"/>
      <c r="E27" s="42"/>
      <c r="F27" s="100">
        <v>1292.21</v>
      </c>
      <c r="G27" s="42"/>
      <c r="H27" s="53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42"/>
      <c r="B28" s="53" t="s">
        <v>729</v>
      </c>
      <c r="C28" s="74"/>
      <c r="D28" s="74"/>
      <c r="E28" s="42"/>
      <c r="F28" s="100">
        <v>1125.32</v>
      </c>
      <c r="G28" s="42"/>
      <c r="H28" s="53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42"/>
      <c r="B29" s="42" t="s">
        <v>371</v>
      </c>
      <c r="C29" s="74"/>
      <c r="D29" s="74"/>
      <c r="E29" s="42"/>
      <c r="F29" s="100"/>
      <c r="G29" s="42"/>
      <c r="H29" s="53"/>
      <c r="I29" s="18"/>
      <c r="J29" s="19"/>
      <c r="N29" s="20"/>
      <c r="O29" s="20"/>
      <c r="P29" s="20"/>
      <c r="Q29" s="21"/>
      <c r="R29" s="22"/>
      <c r="S29" s="22"/>
    </row>
    <row r="30" spans="1:19" ht="37.5">
      <c r="A30" s="42"/>
      <c r="B30" s="53" t="s">
        <v>730</v>
      </c>
      <c r="C30" s="74"/>
      <c r="D30" s="74"/>
      <c r="E30" s="42"/>
      <c r="F30" s="100">
        <v>4019.9</v>
      </c>
      <c r="G30" s="42"/>
      <c r="H30" s="53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42"/>
      <c r="B31" s="42" t="s">
        <v>539</v>
      </c>
      <c r="C31" s="74"/>
      <c r="D31" s="74"/>
      <c r="E31" s="42"/>
      <c r="F31" s="100"/>
      <c r="G31" s="42"/>
      <c r="H31" s="53"/>
      <c r="I31" s="18"/>
      <c r="J31" s="19"/>
      <c r="N31" s="20"/>
      <c r="O31" s="20"/>
      <c r="P31" s="20"/>
      <c r="Q31" s="21"/>
      <c r="R31" s="22"/>
      <c r="S31" s="22"/>
    </row>
    <row r="32" spans="1:19" ht="37.5">
      <c r="A32" s="42"/>
      <c r="B32" s="53" t="s">
        <v>731</v>
      </c>
      <c r="C32" s="74"/>
      <c r="D32" s="74"/>
      <c r="E32" s="42"/>
      <c r="F32" s="100">
        <v>2984.92</v>
      </c>
      <c r="G32" s="42"/>
      <c r="H32" s="53"/>
      <c r="I32" s="18"/>
      <c r="J32" s="19"/>
      <c r="N32" s="20"/>
      <c r="O32" s="20"/>
      <c r="P32" s="20"/>
      <c r="Q32" s="21"/>
      <c r="R32" s="22"/>
      <c r="S32" s="22"/>
    </row>
    <row r="33" spans="1:19" ht="18.75">
      <c r="A33" s="42"/>
      <c r="B33" s="42" t="s">
        <v>124</v>
      </c>
      <c r="C33" s="74"/>
      <c r="D33" s="74"/>
      <c r="E33" s="42"/>
      <c r="F33" s="100"/>
      <c r="G33" s="42"/>
      <c r="H33" s="53"/>
      <c r="I33" s="18"/>
      <c r="J33" s="19"/>
      <c r="N33" s="20"/>
      <c r="O33" s="20"/>
      <c r="P33" s="20"/>
      <c r="Q33" s="21"/>
      <c r="R33" s="22"/>
      <c r="S33" s="22"/>
    </row>
    <row r="34" spans="1:19" ht="18.75">
      <c r="A34" s="42"/>
      <c r="B34" s="53" t="s">
        <v>732</v>
      </c>
      <c r="C34" s="74"/>
      <c r="D34" s="74"/>
      <c r="E34" s="42"/>
      <c r="F34" s="100">
        <v>5886.24</v>
      </c>
      <c r="G34" s="42"/>
      <c r="H34" s="53"/>
      <c r="I34" s="18"/>
      <c r="J34" s="19"/>
      <c r="N34" s="20"/>
      <c r="O34" s="20"/>
      <c r="P34" s="20"/>
      <c r="Q34" s="21"/>
      <c r="R34" s="22"/>
      <c r="S34" s="22"/>
    </row>
    <row r="35" spans="1:19" ht="19.5" customHeight="1">
      <c r="A35" s="42"/>
      <c r="B35" s="53" t="s">
        <v>273</v>
      </c>
      <c r="C35" s="74"/>
      <c r="D35" s="74"/>
      <c r="E35" s="42"/>
      <c r="F35" s="100">
        <v>415.08</v>
      </c>
      <c r="G35" s="42"/>
      <c r="H35" s="53"/>
      <c r="I35" s="18"/>
      <c r="J35" s="19"/>
      <c r="N35" s="20"/>
      <c r="O35" s="20"/>
      <c r="P35" s="20"/>
      <c r="Q35" s="21"/>
      <c r="R35" s="22"/>
      <c r="S35" s="22"/>
    </row>
    <row r="36" spans="1:19" ht="18.75">
      <c r="A36" s="42"/>
      <c r="B36" s="42" t="s">
        <v>93</v>
      </c>
      <c r="C36" s="74"/>
      <c r="D36" s="74"/>
      <c r="E36" s="42"/>
      <c r="F36" s="100"/>
      <c r="G36" s="42"/>
      <c r="H36" s="53"/>
      <c r="I36" s="18"/>
      <c r="J36" s="19"/>
      <c r="N36" s="20"/>
      <c r="O36" s="20"/>
      <c r="P36" s="20"/>
      <c r="Q36" s="21"/>
      <c r="R36" s="22"/>
      <c r="S36" s="22"/>
    </row>
    <row r="37" spans="1:19" ht="56.25">
      <c r="A37" s="42"/>
      <c r="B37" s="53" t="s">
        <v>733</v>
      </c>
      <c r="C37" s="74"/>
      <c r="D37" s="74"/>
      <c r="E37" s="42"/>
      <c r="F37" s="100">
        <v>13000.42</v>
      </c>
      <c r="G37" s="42"/>
      <c r="H37" s="53"/>
      <c r="I37" s="18"/>
      <c r="J37" s="19"/>
      <c r="N37" s="20"/>
      <c r="O37" s="20"/>
      <c r="P37" s="20"/>
      <c r="Q37" s="21"/>
      <c r="R37" s="22"/>
      <c r="S37" s="22"/>
    </row>
    <row r="38" spans="1:19" ht="18.75">
      <c r="A38" s="42"/>
      <c r="B38" s="53" t="s">
        <v>734</v>
      </c>
      <c r="C38" s="74"/>
      <c r="D38" s="74"/>
      <c r="E38" s="42"/>
      <c r="F38" s="100">
        <v>183.24</v>
      </c>
      <c r="G38" s="42"/>
      <c r="H38" s="53"/>
      <c r="I38" s="18"/>
      <c r="J38" s="19"/>
      <c r="N38" s="20"/>
      <c r="O38" s="20"/>
      <c r="P38" s="20"/>
      <c r="Q38" s="21"/>
      <c r="R38" s="22"/>
      <c r="S38" s="22"/>
    </row>
    <row r="39" spans="1:19" ht="18.75">
      <c r="A39" s="42"/>
      <c r="B39" s="42" t="s">
        <v>94</v>
      </c>
      <c r="C39" s="74"/>
      <c r="D39" s="74"/>
      <c r="E39" s="42"/>
      <c r="F39" s="100"/>
      <c r="G39" s="42"/>
      <c r="H39" s="53"/>
      <c r="I39" s="18"/>
      <c r="J39" s="19"/>
      <c r="N39" s="20"/>
      <c r="O39" s="20"/>
      <c r="P39" s="20"/>
      <c r="Q39" s="21"/>
      <c r="R39" s="22"/>
      <c r="S39" s="22"/>
    </row>
    <row r="40" spans="1:19" ht="18.75">
      <c r="A40" s="42"/>
      <c r="B40" s="53" t="s">
        <v>735</v>
      </c>
      <c r="C40" s="74"/>
      <c r="D40" s="74"/>
      <c r="E40" s="42"/>
      <c r="F40" s="100">
        <v>7075.49</v>
      </c>
      <c r="G40" s="42"/>
      <c r="H40" s="53"/>
      <c r="I40" s="18"/>
      <c r="J40" s="19"/>
      <c r="N40" s="20"/>
      <c r="O40" s="20"/>
      <c r="P40" s="20"/>
      <c r="Q40" s="21"/>
      <c r="R40" s="22"/>
      <c r="S40" s="22"/>
    </row>
    <row r="41" spans="1:19" ht="18.75">
      <c r="A41" s="42"/>
      <c r="B41" s="53" t="s">
        <v>736</v>
      </c>
      <c r="C41" s="74"/>
      <c r="D41" s="74"/>
      <c r="E41" s="42"/>
      <c r="F41" s="100">
        <v>2715.08</v>
      </c>
      <c r="G41" s="42"/>
      <c r="H41" s="53"/>
      <c r="I41" s="18"/>
      <c r="J41" s="19"/>
      <c r="N41" s="20"/>
      <c r="O41" s="20"/>
      <c r="P41" s="20"/>
      <c r="Q41" s="21"/>
      <c r="R41" s="22"/>
      <c r="S41" s="22"/>
    </row>
    <row r="42" spans="1:19" ht="18.75">
      <c r="A42" s="42"/>
      <c r="B42" s="42" t="s">
        <v>98</v>
      </c>
      <c r="C42" s="74"/>
      <c r="D42" s="74"/>
      <c r="E42" s="42"/>
      <c r="F42" s="100"/>
      <c r="G42" s="42"/>
      <c r="H42" s="53"/>
      <c r="I42" s="18"/>
      <c r="J42" s="19"/>
      <c r="N42" s="20"/>
      <c r="O42" s="20"/>
      <c r="P42" s="20"/>
      <c r="Q42" s="21"/>
      <c r="R42" s="22"/>
      <c r="S42" s="22"/>
    </row>
    <row r="43" spans="1:19" ht="18.75">
      <c r="A43" s="42"/>
      <c r="B43" s="53" t="s">
        <v>629</v>
      </c>
      <c r="C43" s="74"/>
      <c r="D43" s="74"/>
      <c r="E43" s="42"/>
      <c r="F43" s="100">
        <v>285.98</v>
      </c>
      <c r="G43" s="42"/>
      <c r="H43" s="53"/>
      <c r="I43" s="18"/>
      <c r="J43" s="19"/>
      <c r="N43" s="20"/>
      <c r="O43" s="20"/>
      <c r="P43" s="20"/>
      <c r="Q43" s="21"/>
      <c r="R43" s="22"/>
      <c r="S43" s="22"/>
    </row>
    <row r="44" spans="1:19" ht="18.75">
      <c r="A44" s="42"/>
      <c r="B44" s="42" t="s">
        <v>95</v>
      </c>
      <c r="C44" s="74"/>
      <c r="D44" s="74"/>
      <c r="E44" s="42"/>
      <c r="F44" s="100"/>
      <c r="G44" s="42"/>
      <c r="H44" s="53"/>
      <c r="I44" s="18"/>
      <c r="J44" s="19"/>
      <c r="N44" s="20"/>
      <c r="O44" s="20"/>
      <c r="P44" s="20"/>
      <c r="Q44" s="21"/>
      <c r="R44" s="22"/>
      <c r="S44" s="22"/>
    </row>
    <row r="45" spans="1:19" ht="37.5">
      <c r="A45" s="42"/>
      <c r="B45" s="53" t="s">
        <v>737</v>
      </c>
      <c r="C45" s="74"/>
      <c r="D45" s="74"/>
      <c r="E45" s="42"/>
      <c r="F45" s="100">
        <v>3524.52</v>
      </c>
      <c r="G45" s="42"/>
      <c r="H45" s="53"/>
      <c r="I45" s="18"/>
      <c r="J45" s="19"/>
      <c r="N45" s="20"/>
      <c r="O45" s="20"/>
      <c r="P45" s="20"/>
      <c r="Q45" s="21"/>
      <c r="R45" s="22"/>
      <c r="S45" s="22"/>
    </row>
    <row r="46" spans="1:19" ht="18.75">
      <c r="A46" s="42"/>
      <c r="B46" s="53" t="s">
        <v>214</v>
      </c>
      <c r="C46" s="74"/>
      <c r="D46" s="74"/>
      <c r="E46" s="42"/>
      <c r="F46" s="100">
        <v>735.59</v>
      </c>
      <c r="G46" s="42"/>
      <c r="H46" s="53"/>
      <c r="I46" s="18"/>
      <c r="J46" s="19"/>
      <c r="N46" s="20"/>
      <c r="O46" s="20"/>
      <c r="P46" s="20"/>
      <c r="Q46" s="21"/>
      <c r="R46" s="22"/>
      <c r="S46" s="22"/>
    </row>
    <row r="47" spans="1:19" ht="37.5">
      <c r="A47" s="42"/>
      <c r="B47" s="53" t="s">
        <v>738</v>
      </c>
      <c r="C47" s="74"/>
      <c r="D47" s="74"/>
      <c r="E47" s="42"/>
      <c r="F47" s="100">
        <v>444.08</v>
      </c>
      <c r="G47" s="42"/>
      <c r="H47" s="53"/>
      <c r="I47" s="18"/>
      <c r="J47" s="19"/>
      <c r="N47" s="20"/>
      <c r="O47" s="20"/>
      <c r="P47" s="20"/>
      <c r="Q47" s="21"/>
      <c r="R47" s="22"/>
      <c r="S47" s="22"/>
    </row>
    <row r="48" spans="1:19" ht="18.75">
      <c r="A48" s="42"/>
      <c r="B48" s="42" t="s">
        <v>97</v>
      </c>
      <c r="C48" s="74"/>
      <c r="D48" s="74"/>
      <c r="E48" s="42"/>
      <c r="F48" s="100"/>
      <c r="G48" s="42"/>
      <c r="H48" s="53"/>
      <c r="I48" s="18"/>
      <c r="J48" s="19"/>
      <c r="N48" s="20"/>
      <c r="O48" s="20"/>
      <c r="P48" s="20"/>
      <c r="Q48" s="21"/>
      <c r="R48" s="22"/>
      <c r="S48" s="22"/>
    </row>
    <row r="49" spans="1:19" ht="19.5" customHeight="1">
      <c r="A49" s="42"/>
      <c r="B49" s="53" t="s">
        <v>739</v>
      </c>
      <c r="C49" s="74"/>
      <c r="D49" s="74"/>
      <c r="E49" s="42"/>
      <c r="F49" s="100">
        <v>249.16</v>
      </c>
      <c r="G49" s="42"/>
      <c r="H49" s="53"/>
      <c r="I49" s="18"/>
      <c r="J49" s="19"/>
      <c r="N49" s="20"/>
      <c r="O49" s="20"/>
      <c r="P49" s="20"/>
      <c r="Q49" s="21"/>
      <c r="R49" s="22"/>
      <c r="S49" s="22"/>
    </row>
    <row r="50" spans="1:19" ht="75">
      <c r="A50" s="42"/>
      <c r="B50" s="14" t="s">
        <v>943</v>
      </c>
      <c r="C50" s="74"/>
      <c r="D50" s="74"/>
      <c r="E50" s="42">
        <v>-9.06</v>
      </c>
      <c r="F50" s="100">
        <f>E50</f>
        <v>-9.06</v>
      </c>
      <c r="G50" s="42"/>
      <c r="H50" s="53"/>
      <c r="I50" s="18"/>
      <c r="J50" s="19"/>
      <c r="N50" s="20"/>
      <c r="O50" s="20"/>
      <c r="P50" s="20"/>
      <c r="Q50" s="21"/>
      <c r="R50" s="22"/>
      <c r="S50" s="22"/>
    </row>
    <row r="51" spans="1:24" ht="18.75">
      <c r="A51" s="53"/>
      <c r="B51" s="53" t="s">
        <v>9</v>
      </c>
      <c r="C51" s="74">
        <f>SUM(C13:C26)</f>
        <v>9.01</v>
      </c>
      <c r="D51" s="74">
        <f>SUM(D13:D26)</f>
        <v>9.6</v>
      </c>
      <c r="E51" s="42">
        <f>SUM(E13:E26)+E50</f>
        <v>94611.62399999998</v>
      </c>
      <c r="F51" s="42">
        <f>F13+F14+F15+F16+F17+F18+F50</f>
        <v>99191.41399999999</v>
      </c>
      <c r="G51" s="42">
        <f>G13+G14+G15+G16+G17+G18</f>
        <v>97620.47999999998</v>
      </c>
      <c r="H51" s="53">
        <f>1.04993597951*C51</f>
        <v>9.4599231753851</v>
      </c>
      <c r="I51" s="18">
        <f>1.12035851472*C51</f>
        <v>10.094430217627199</v>
      </c>
      <c r="J51" s="19">
        <f>J18</f>
        <v>0</v>
      </c>
      <c r="N51" s="20"/>
      <c r="Q51" s="24"/>
      <c r="R51" s="22">
        <f>SUM(R13:R26)</f>
        <v>8.620000000000001</v>
      </c>
      <c r="S51" s="22">
        <f>SUM(S13:S26)</f>
        <v>9.16</v>
      </c>
      <c r="T51" s="22"/>
      <c r="U51" s="22"/>
      <c r="V51" s="22">
        <f>SUM(V13:V26)</f>
        <v>12100.872</v>
      </c>
      <c r="W51" s="22">
        <f>SUM(W13:W26)</f>
        <v>12609.312000000002</v>
      </c>
      <c r="X51" s="22">
        <f>SUM(X13:X26)</f>
        <v>24710.184</v>
      </c>
    </row>
    <row r="52" spans="1:43" ht="20.25">
      <c r="A52" s="13">
        <v>5</v>
      </c>
      <c r="B52" s="54" t="s">
        <v>26</v>
      </c>
      <c r="C52" s="127">
        <v>1.58</v>
      </c>
      <c r="D52" s="127">
        <v>1.85</v>
      </c>
      <c r="E52" s="128">
        <f>AO52*AP52*6</f>
        <v>15507.419999999998</v>
      </c>
      <c r="F52" s="129">
        <f>E52</f>
        <v>15507.419999999998</v>
      </c>
      <c r="G52" s="129">
        <f>AQ52*12*AO52</f>
        <v>19219.032</v>
      </c>
      <c r="H52" s="69" t="e">
        <f>#REF!</f>
        <v>#REF!</v>
      </c>
      <c r="I52" s="22">
        <f>C52+D52</f>
        <v>3.43</v>
      </c>
      <c r="J52" s="34">
        <v>3.43</v>
      </c>
      <c r="K52">
        <v>10</v>
      </c>
      <c r="L52">
        <v>2</v>
      </c>
      <c r="N52" s="20">
        <f>C52*J52*K52</f>
        <v>54.194</v>
      </c>
      <c r="O52" s="20" t="e">
        <f>#REF!*J52*L52</f>
        <v>#REF!</v>
      </c>
      <c r="P52" s="20" t="e">
        <f>SUM(N52:O52)</f>
        <v>#REF!</v>
      </c>
      <c r="Q52" s="21"/>
      <c r="R52" s="22">
        <v>1.47</v>
      </c>
      <c r="S52">
        <v>1.58</v>
      </c>
      <c r="T52">
        <v>6</v>
      </c>
      <c r="U52">
        <v>6</v>
      </c>
      <c r="V52">
        <f>R52*J52*T52</f>
        <v>30.2526</v>
      </c>
      <c r="W52">
        <f>S52*U52*J52</f>
        <v>32.516400000000004</v>
      </c>
      <c r="X52">
        <f>SUM(V52:W52)</f>
        <v>62.769000000000005</v>
      </c>
      <c r="AD52" t="e">
        <f>#REF!</f>
        <v>#REF!</v>
      </c>
      <c r="AE52">
        <v>3.05</v>
      </c>
      <c r="AF52" s="69" t="str">
        <f>C11</f>
        <v>с 1.01-31.06</v>
      </c>
      <c r="AG52">
        <v>3.05</v>
      </c>
      <c r="AH52">
        <v>3.43</v>
      </c>
      <c r="AO52" s="69">
        <f>C7</f>
        <v>847.4</v>
      </c>
      <c r="AP52">
        <v>3.05</v>
      </c>
      <c r="AQ52">
        <v>1.89</v>
      </c>
    </row>
    <row r="53" spans="1:17" ht="18.75">
      <c r="A53" s="55"/>
      <c r="B53" s="56"/>
      <c r="C53" s="55"/>
      <c r="D53" s="55"/>
      <c r="E53" s="55"/>
      <c r="F53" s="55"/>
      <c r="G53" s="55"/>
      <c r="H53" s="55"/>
      <c r="Q53" s="24"/>
    </row>
    <row r="54" spans="1:17" ht="18.75" customHeight="1">
      <c r="A54" s="179" t="s">
        <v>941</v>
      </c>
      <c r="B54" s="179"/>
      <c r="C54" s="193">
        <v>10028.52</v>
      </c>
      <c r="D54" s="193"/>
      <c r="E54" s="55" t="s">
        <v>18</v>
      </c>
      <c r="F54" s="55"/>
      <c r="G54" s="55"/>
      <c r="H54" s="55"/>
      <c r="Q54" s="24"/>
    </row>
    <row r="55" spans="1:17" ht="18.75" customHeight="1">
      <c r="A55" s="179" t="s">
        <v>942</v>
      </c>
      <c r="B55" s="179"/>
      <c r="C55" s="193">
        <v>12216.44</v>
      </c>
      <c r="D55" s="193"/>
      <c r="E55" s="55" t="s">
        <v>18</v>
      </c>
      <c r="F55" s="55"/>
      <c r="G55" s="55"/>
      <c r="H55" s="55"/>
      <c r="Q55" s="24"/>
    </row>
    <row r="56" spans="1:8" ht="18.75">
      <c r="A56" s="207" t="s">
        <v>17</v>
      </c>
      <c r="B56" s="207"/>
      <c r="C56" s="207"/>
      <c r="D56" s="207"/>
      <c r="E56" s="207"/>
      <c r="F56" s="207"/>
      <c r="G56" s="207"/>
      <c r="H56" s="55"/>
    </row>
    <row r="57" spans="1:8" ht="18.75" customHeight="1" hidden="1">
      <c r="A57" s="206" t="s">
        <v>35</v>
      </c>
      <c r="B57" s="206"/>
      <c r="C57" s="52" t="e">
        <f>C54-#REF!</f>
        <v>#REF!</v>
      </c>
      <c r="D57" s="55" t="s">
        <v>18</v>
      </c>
      <c r="E57" s="55"/>
      <c r="F57" s="55"/>
      <c r="G57" s="55"/>
      <c r="H57" s="55"/>
    </row>
    <row r="58" spans="1:8" ht="18.75" customHeight="1" hidden="1">
      <c r="A58" s="206" t="s">
        <v>36</v>
      </c>
      <c r="B58" s="206"/>
      <c r="C58" s="96">
        <f>E51-F51</f>
        <v>-4579.790000000008</v>
      </c>
      <c r="D58" s="96" t="str">
        <f>D57</f>
        <v>рублей</v>
      </c>
      <c r="E58" s="59"/>
      <c r="F58" s="59"/>
      <c r="G58" s="59"/>
      <c r="H58" s="55"/>
    </row>
    <row r="59" spans="1:8" ht="18.75">
      <c r="A59" s="59"/>
      <c r="B59" s="59"/>
      <c r="C59" s="59"/>
      <c r="D59" s="59"/>
      <c r="E59" s="59"/>
      <c r="F59" s="59"/>
      <c r="G59" s="59"/>
      <c r="H59" s="59"/>
    </row>
    <row r="60" spans="1:8" ht="18.75">
      <c r="A60" s="59"/>
      <c r="B60" s="59"/>
      <c r="C60" s="59"/>
      <c r="D60" s="59"/>
      <c r="E60" s="59"/>
      <c r="F60" s="59"/>
      <c r="G60" s="59"/>
      <c r="H60" s="59"/>
    </row>
    <row r="61" spans="1:8" ht="18.75">
      <c r="A61" s="59"/>
      <c r="B61" s="59"/>
      <c r="C61" s="59"/>
      <c r="D61" s="59"/>
      <c r="E61" s="59"/>
      <c r="F61" s="59"/>
      <c r="G61" s="59"/>
      <c r="H61" s="59"/>
    </row>
    <row r="62" spans="1:8" ht="18.75">
      <c r="A62" s="59"/>
      <c r="B62" s="59"/>
      <c r="C62" s="59"/>
      <c r="D62" s="59"/>
      <c r="E62" s="59"/>
      <c r="F62" s="59"/>
      <c r="G62" s="59"/>
      <c r="H62" s="59"/>
    </row>
    <row r="63" spans="1:8" ht="18.75">
      <c r="A63" s="59"/>
      <c r="B63" s="59"/>
      <c r="C63" s="59"/>
      <c r="D63" s="59"/>
      <c r="E63" s="59"/>
      <c r="F63" s="59"/>
      <c r="G63" s="59"/>
      <c r="H63" s="59"/>
    </row>
    <row r="64" spans="1:8" ht="18.75">
      <c r="A64" s="59"/>
      <c r="B64" s="59"/>
      <c r="C64" s="59"/>
      <c r="D64" s="59"/>
      <c r="E64" s="59"/>
      <c r="F64" s="59"/>
      <c r="G64" s="59"/>
      <c r="H64" s="59"/>
    </row>
    <row r="65" spans="1:8" ht="18.75">
      <c r="A65" s="59"/>
      <c r="B65" s="59"/>
      <c r="C65" s="59"/>
      <c r="D65" s="59"/>
      <c r="E65" s="59"/>
      <c r="F65" s="59"/>
      <c r="G65" s="59"/>
      <c r="H65" s="59"/>
    </row>
    <row r="66" spans="1:8" ht="18.75">
      <c r="A66" s="59"/>
      <c r="B66" s="59"/>
      <c r="C66" s="59"/>
      <c r="D66" s="59"/>
      <c r="E66" s="59"/>
      <c r="F66" s="59"/>
      <c r="G66" s="59"/>
      <c r="H66" s="59"/>
    </row>
    <row r="67" spans="1:8" ht="18.75">
      <c r="A67" s="59"/>
      <c r="B67" s="59"/>
      <c r="C67" s="59"/>
      <c r="D67" s="59"/>
      <c r="E67" s="59"/>
      <c r="F67" s="59"/>
      <c r="G67" s="59"/>
      <c r="H67" s="59"/>
    </row>
  </sheetData>
  <sheetProtection/>
  <mergeCells count="18">
    <mergeCell ref="A55:B55"/>
    <mergeCell ref="C54:D54"/>
    <mergeCell ref="A1:G2"/>
    <mergeCell ref="A3:G3"/>
    <mergeCell ref="A4:H5"/>
    <mergeCell ref="F9:F11"/>
    <mergeCell ref="G9:G11"/>
    <mergeCell ref="A54:B54"/>
    <mergeCell ref="A56:G56"/>
    <mergeCell ref="A57:B57"/>
    <mergeCell ref="A58:B58"/>
    <mergeCell ref="J9:Q12"/>
    <mergeCell ref="R9:X12"/>
    <mergeCell ref="A9:A11"/>
    <mergeCell ref="B9:B11"/>
    <mergeCell ref="C9:D10"/>
    <mergeCell ref="E9:E11"/>
    <mergeCell ref="C55:D5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A1:AQ66"/>
  <sheetViews>
    <sheetView view="pageBreakPreview" zoomScale="75" zoomScaleSheetLayoutView="75" zoomScalePageLayoutView="0" workbookViewId="0" topLeftCell="A43">
      <selection activeCell="F60" sqref="F60"/>
    </sheetView>
  </sheetViews>
  <sheetFormatPr defaultColWidth="9.00390625" defaultRowHeight="12.75"/>
  <cols>
    <col min="1" max="1" width="9.375" style="0" bestFit="1" customWidth="1"/>
    <col min="2" max="2" width="65.125" style="0" customWidth="1"/>
    <col min="3" max="3" width="12.25390625" style="0" customWidth="1"/>
    <col min="4" max="4" width="14.125" style="0" customWidth="1"/>
    <col min="5" max="5" width="13.25390625" style="0" customWidth="1"/>
    <col min="6" max="6" width="15.75390625" style="0" bestFit="1" customWidth="1"/>
    <col min="7" max="7" width="13.375" style="0" bestFit="1" customWidth="1"/>
    <col min="8" max="8" width="9.375" style="0" hidden="1" customWidth="1"/>
    <col min="9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1" width="9.25390625" style="0" hidden="1" customWidth="1"/>
    <col min="22" max="26" width="11.00390625" style="0" hidden="1" customWidth="1"/>
    <col min="27" max="29" width="0" style="0" hidden="1" customWidth="1"/>
  </cols>
  <sheetData>
    <row r="1" spans="1:8" ht="18.75">
      <c r="A1" s="193" t="s">
        <v>25</v>
      </c>
      <c r="B1" s="193"/>
      <c r="C1" s="193"/>
      <c r="D1" s="193"/>
      <c r="E1" s="193"/>
      <c r="F1" s="193"/>
      <c r="G1" s="193"/>
      <c r="H1" s="55"/>
    </row>
    <row r="2" spans="1:8" ht="18.75">
      <c r="A2" s="193"/>
      <c r="B2" s="193"/>
      <c r="C2" s="193"/>
      <c r="D2" s="193"/>
      <c r="E2" s="193"/>
      <c r="F2" s="193"/>
      <c r="G2" s="193"/>
      <c r="H2" s="55"/>
    </row>
    <row r="3" spans="1:8" ht="44.25" customHeight="1">
      <c r="A3" s="193" t="s">
        <v>68</v>
      </c>
      <c r="B3" s="193"/>
      <c r="C3" s="193"/>
      <c r="D3" s="193"/>
      <c r="E3" s="193"/>
      <c r="F3" s="193"/>
      <c r="G3" s="193"/>
      <c r="H3" s="52"/>
    </row>
    <row r="4" spans="1:8" ht="12.75">
      <c r="A4" s="193" t="s">
        <v>110</v>
      </c>
      <c r="B4" s="193"/>
      <c r="C4" s="193"/>
      <c r="D4" s="193"/>
      <c r="E4" s="193"/>
      <c r="F4" s="193"/>
      <c r="G4" s="193"/>
      <c r="H4" s="193"/>
    </row>
    <row r="5" spans="1:8" ht="12.75">
      <c r="A5" s="193"/>
      <c r="B5" s="193"/>
      <c r="C5" s="193"/>
      <c r="D5" s="193"/>
      <c r="E5" s="193"/>
      <c r="F5" s="193"/>
      <c r="G5" s="193"/>
      <c r="H5" s="193"/>
    </row>
    <row r="6" spans="1:8" ht="18.75">
      <c r="A6" s="52"/>
      <c r="B6" s="52"/>
      <c r="C6" s="52"/>
      <c r="D6" s="52"/>
      <c r="E6" s="52"/>
      <c r="F6" s="52"/>
      <c r="G6" s="52"/>
      <c r="H6" s="52"/>
    </row>
    <row r="7" spans="1:8" ht="22.5">
      <c r="A7" s="59"/>
      <c r="B7" s="57" t="s">
        <v>5</v>
      </c>
      <c r="C7" s="123">
        <v>2677.09</v>
      </c>
      <c r="D7" s="52" t="s">
        <v>31</v>
      </c>
      <c r="E7" s="55"/>
      <c r="F7" s="55"/>
      <c r="G7" s="55"/>
      <c r="H7" s="55"/>
    </row>
    <row r="8" spans="1:8" ht="18.75">
      <c r="A8" s="59"/>
      <c r="B8" s="52"/>
      <c r="C8" s="52"/>
      <c r="D8" s="52"/>
      <c r="E8" s="52"/>
      <c r="F8" s="52"/>
      <c r="G8" s="52"/>
      <c r="H8" s="52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44" t="s">
        <v>99</v>
      </c>
      <c r="F9" s="247" t="s">
        <v>74</v>
      </c>
      <c r="G9" s="244" t="s">
        <v>218</v>
      </c>
      <c r="H9" s="53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56.25" customHeight="1">
      <c r="A10" s="212"/>
      <c r="B10" s="212"/>
      <c r="C10" s="216"/>
      <c r="D10" s="217"/>
      <c r="E10" s="245"/>
      <c r="F10" s="248"/>
      <c r="G10" s="245"/>
      <c r="H10" s="53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126.75" customHeight="1">
      <c r="A11" s="213"/>
      <c r="B11" s="213"/>
      <c r="C11" s="124" t="s">
        <v>107</v>
      </c>
      <c r="D11" s="124" t="s">
        <v>106</v>
      </c>
      <c r="E11" s="246"/>
      <c r="F11" s="249"/>
      <c r="G11" s="246"/>
      <c r="H11" s="53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42" t="s">
        <v>12</v>
      </c>
      <c r="B12" s="53" t="s">
        <v>20</v>
      </c>
      <c r="C12" s="74"/>
      <c r="D12" s="74"/>
      <c r="E12" s="42"/>
      <c r="F12" s="42"/>
      <c r="G12" s="42"/>
      <c r="H12" s="53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2" ht="18.75">
      <c r="A13" s="42" t="s">
        <v>13</v>
      </c>
      <c r="B13" s="53" t="s">
        <v>10</v>
      </c>
      <c r="C13" s="34">
        <v>1.09</v>
      </c>
      <c r="D13" s="34">
        <v>1.14</v>
      </c>
      <c r="E13" s="42">
        <f aca="true" t="shared" si="0" ref="E13:E18">AD13*6*AE13</f>
        <v>35819.4642</v>
      </c>
      <c r="F13" s="42">
        <f>E13</f>
        <v>35819.4642</v>
      </c>
      <c r="G13" s="42">
        <f aca="true" t="shared" si="1" ref="G13:G18">AD13*12*AF13</f>
        <v>36622.591199999995</v>
      </c>
      <c r="H13" s="53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2677.09</v>
      </c>
      <c r="K13">
        <v>6</v>
      </c>
      <c r="L13">
        <v>2</v>
      </c>
      <c r="M13">
        <v>4</v>
      </c>
      <c r="N13" s="20">
        <f aca="true" t="shared" si="4" ref="N13:N18">C13*J13*K13</f>
        <v>17508.168600000005</v>
      </c>
      <c r="O13" s="20" t="e">
        <f>J13*#REF!*L13</f>
        <v>#REF!</v>
      </c>
      <c r="P13" s="20">
        <f aca="true" t="shared" si="5" ref="P13:P18">D13*J13*M13</f>
        <v>12207.5304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16865.667</v>
      </c>
      <c r="W13">
        <f aca="true" t="shared" si="8" ref="W13:W18">U13*S13*J13</f>
        <v>17508.168600000005</v>
      </c>
      <c r="X13">
        <f aca="true" t="shared" si="9" ref="X13:X18">SUM(V13:W13)</f>
        <v>34373.835600000006</v>
      </c>
      <c r="AD13" s="69">
        <f>C7</f>
        <v>2677.09</v>
      </c>
      <c r="AE13" s="22">
        <f aca="true" t="shared" si="10" ref="AE13:AE18">C13+D13</f>
        <v>2.23</v>
      </c>
      <c r="AF13" s="34">
        <v>1.14</v>
      </c>
    </row>
    <row r="14" spans="1:32" ht="19.5" customHeight="1">
      <c r="A14" s="42" t="s">
        <v>14</v>
      </c>
      <c r="B14" s="53" t="s">
        <v>15</v>
      </c>
      <c r="C14" s="34">
        <v>1.39</v>
      </c>
      <c r="D14" s="34">
        <v>1.46</v>
      </c>
      <c r="E14" s="42">
        <f t="shared" si="0"/>
        <v>45778.238999999994</v>
      </c>
      <c r="F14" s="42">
        <f>E14</f>
        <v>45778.238999999994</v>
      </c>
      <c r="G14" s="42">
        <f t="shared" si="1"/>
        <v>46902.6168</v>
      </c>
      <c r="H14" s="53">
        <f t="shared" si="2"/>
        <v>1.4594110115189</v>
      </c>
      <c r="I14" s="18">
        <f t="shared" si="3"/>
        <v>1.5572983354607999</v>
      </c>
      <c r="J14" s="19">
        <f>J13</f>
        <v>2677.09</v>
      </c>
      <c r="K14">
        <v>6</v>
      </c>
      <c r="L14">
        <v>2</v>
      </c>
      <c r="M14">
        <v>4</v>
      </c>
      <c r="N14" s="20">
        <f t="shared" si="4"/>
        <v>22326.9306</v>
      </c>
      <c r="O14" s="20" t="e">
        <f>J14*#REF!*L14</f>
        <v>#REF!</v>
      </c>
      <c r="P14" s="20">
        <f t="shared" si="5"/>
        <v>15634.205600000001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21363.178200000002</v>
      </c>
      <c r="W14">
        <f t="shared" si="8"/>
        <v>22326.9306</v>
      </c>
      <c r="X14">
        <f t="shared" si="9"/>
        <v>43690.1088</v>
      </c>
      <c r="AD14">
        <f>AD13</f>
        <v>2677.09</v>
      </c>
      <c r="AE14" s="22">
        <f t="shared" si="10"/>
        <v>2.8499999999999996</v>
      </c>
      <c r="AF14" s="34">
        <v>1.46</v>
      </c>
    </row>
    <row r="15" spans="1:32" ht="18.75">
      <c r="A15" s="42" t="s">
        <v>16</v>
      </c>
      <c r="B15" s="53" t="s">
        <v>7</v>
      </c>
      <c r="C15" s="34"/>
      <c r="D15" s="34"/>
      <c r="E15" s="42"/>
      <c r="F15" s="42"/>
      <c r="G15" s="42"/>
      <c r="H15" s="53"/>
      <c r="I15" s="18"/>
      <c r="J15" s="19"/>
      <c r="N15" s="20"/>
      <c r="O15" s="20"/>
      <c r="P15" s="20"/>
      <c r="Q15" s="21"/>
      <c r="R15" s="22"/>
      <c r="S15" s="22"/>
      <c r="AE15" s="22"/>
      <c r="AF15" s="34"/>
    </row>
    <row r="16" spans="1:32" ht="18.75">
      <c r="A16" s="42" t="s">
        <v>21</v>
      </c>
      <c r="B16" s="53" t="s">
        <v>11</v>
      </c>
      <c r="C16" s="34">
        <v>0.82</v>
      </c>
      <c r="D16" s="34">
        <v>0.58</v>
      </c>
      <c r="E16" s="42">
        <f t="shared" si="0"/>
        <v>22487.556</v>
      </c>
      <c r="F16" s="42">
        <f>E16</f>
        <v>22487.556</v>
      </c>
      <c r="G16" s="42">
        <f t="shared" si="1"/>
        <v>18632.5464</v>
      </c>
      <c r="H16" s="53">
        <f t="shared" si="2"/>
        <v>0.8609475031982</v>
      </c>
      <c r="I16" s="18">
        <f t="shared" si="3"/>
        <v>0.9186939820703999</v>
      </c>
      <c r="J16" s="19">
        <f>J15</f>
        <v>0</v>
      </c>
      <c r="K16">
        <v>6</v>
      </c>
      <c r="L16">
        <v>2</v>
      </c>
      <c r="M16">
        <v>4</v>
      </c>
      <c r="N16" s="20">
        <f t="shared" si="4"/>
        <v>0</v>
      </c>
      <c r="O16" s="20" t="e">
        <f>J16*#REF!*L16</f>
        <v>#REF!</v>
      </c>
      <c r="P16" s="20">
        <f t="shared" si="5"/>
        <v>0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0</v>
      </c>
      <c r="W16">
        <f t="shared" si="8"/>
        <v>0</v>
      </c>
      <c r="X16">
        <f t="shared" si="9"/>
        <v>0</v>
      </c>
      <c r="AD16">
        <f>AD14</f>
        <v>2677.09</v>
      </c>
      <c r="AE16" s="22">
        <f t="shared" si="10"/>
        <v>1.4</v>
      </c>
      <c r="AF16" s="34">
        <v>0.58</v>
      </c>
    </row>
    <row r="17" spans="1:32" ht="18.75">
      <c r="A17" s="42" t="s">
        <v>22</v>
      </c>
      <c r="B17" s="53" t="s">
        <v>19</v>
      </c>
      <c r="C17" s="34">
        <v>1.24</v>
      </c>
      <c r="D17" s="34">
        <v>1.24</v>
      </c>
      <c r="E17" s="42">
        <f t="shared" si="0"/>
        <v>39835.099200000004</v>
      </c>
      <c r="F17" s="42">
        <f>E17</f>
        <v>39835.099200000004</v>
      </c>
      <c r="G17" s="42">
        <f t="shared" si="1"/>
        <v>39835.099200000004</v>
      </c>
      <c r="H17" s="53">
        <f t="shared" si="2"/>
        <v>1.3019206145924</v>
      </c>
      <c r="I17" s="18">
        <f t="shared" si="3"/>
        <v>1.3892445582528</v>
      </c>
      <c r="J17" s="19">
        <f>J16</f>
        <v>0</v>
      </c>
      <c r="K17">
        <v>6</v>
      </c>
      <c r="L17">
        <v>2</v>
      </c>
      <c r="M17">
        <v>4</v>
      </c>
      <c r="N17" s="20">
        <f t="shared" si="4"/>
        <v>0</v>
      </c>
      <c r="O17" s="20" t="e">
        <f>J17*#REF!*L17</f>
        <v>#REF!</v>
      </c>
      <c r="P17" s="20">
        <f t="shared" si="5"/>
        <v>0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0</v>
      </c>
      <c r="W17">
        <f t="shared" si="8"/>
        <v>0</v>
      </c>
      <c r="X17">
        <f t="shared" si="9"/>
        <v>0</v>
      </c>
      <c r="AD17">
        <f>AD16</f>
        <v>2677.09</v>
      </c>
      <c r="AE17" s="22">
        <f t="shared" si="10"/>
        <v>2.48</v>
      </c>
      <c r="AF17" s="34">
        <v>1.24</v>
      </c>
    </row>
    <row r="18" spans="1:32" ht="56.25">
      <c r="A18" s="42" t="s">
        <v>23</v>
      </c>
      <c r="B18" s="53" t="s">
        <v>24</v>
      </c>
      <c r="C18" s="34">
        <v>4.47</v>
      </c>
      <c r="D18" s="34">
        <v>5.18</v>
      </c>
      <c r="E18" s="42">
        <f t="shared" si="0"/>
        <v>155003.511</v>
      </c>
      <c r="F18" s="99">
        <f>F20+F21+F22+F24+F25+F26+F28+F29+F31+F33+F34+F36+F37+F39+F40+F41+F43+F44+F45+F47+F48+F50+F51+F53+F54+F56+F57</f>
        <v>149227.35</v>
      </c>
      <c r="G18" s="42">
        <f t="shared" si="1"/>
        <v>166407.9144</v>
      </c>
      <c r="H18" s="53">
        <f t="shared" si="2"/>
        <v>4.6932138284097</v>
      </c>
      <c r="I18" s="18">
        <f t="shared" si="3"/>
        <v>5.008002560798399</v>
      </c>
      <c r="J18" s="19">
        <f>J17</f>
        <v>0</v>
      </c>
      <c r="K18">
        <v>6</v>
      </c>
      <c r="L18">
        <v>2</v>
      </c>
      <c r="M18">
        <v>4</v>
      </c>
      <c r="N18" s="20">
        <f t="shared" si="4"/>
        <v>0</v>
      </c>
      <c r="O18" s="20" t="e">
        <f>J18*#REF!*L18</f>
        <v>#REF!</v>
      </c>
      <c r="P18" s="20">
        <f t="shared" si="5"/>
        <v>0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0</v>
      </c>
      <c r="W18">
        <f t="shared" si="8"/>
        <v>0</v>
      </c>
      <c r="X18">
        <f t="shared" si="9"/>
        <v>0</v>
      </c>
      <c r="AD18">
        <f>AD17</f>
        <v>2677.09</v>
      </c>
      <c r="AE18" s="22">
        <f t="shared" si="10"/>
        <v>9.649999999999999</v>
      </c>
      <c r="AF18" s="34">
        <v>5.18</v>
      </c>
    </row>
    <row r="19" spans="1:19" ht="18.75">
      <c r="A19" s="42"/>
      <c r="B19" s="42" t="s">
        <v>75</v>
      </c>
      <c r="C19" s="74"/>
      <c r="D19" s="74"/>
      <c r="E19" s="42"/>
      <c r="F19" s="99"/>
      <c r="G19" s="42"/>
      <c r="H19" s="53"/>
      <c r="I19" s="18"/>
      <c r="J19" s="19"/>
      <c r="N19" s="20"/>
      <c r="O19" s="20"/>
      <c r="P19" s="20"/>
      <c r="Q19" s="21"/>
      <c r="R19" s="22"/>
      <c r="S19" s="22"/>
    </row>
    <row r="20" spans="1:19" ht="56.25">
      <c r="A20" s="42"/>
      <c r="B20" s="53" t="s">
        <v>740</v>
      </c>
      <c r="C20" s="74"/>
      <c r="D20" s="74"/>
      <c r="E20" s="42"/>
      <c r="F20" s="100">
        <v>8289.07</v>
      </c>
      <c r="G20" s="42"/>
      <c r="H20" s="53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42"/>
      <c r="B21" s="53" t="s">
        <v>30</v>
      </c>
      <c r="C21" s="74"/>
      <c r="D21" s="74"/>
      <c r="E21" s="42"/>
      <c r="F21" s="99">
        <v>312.4</v>
      </c>
      <c r="G21" s="42"/>
      <c r="H21" s="53"/>
      <c r="I21" s="18"/>
      <c r="J21" s="19"/>
      <c r="N21" s="20"/>
      <c r="O21" s="20"/>
      <c r="P21" s="20"/>
      <c r="Q21" s="21"/>
      <c r="R21" s="22"/>
      <c r="S21" s="22"/>
    </row>
    <row r="22" spans="1:19" ht="18.75">
      <c r="A22" s="42"/>
      <c r="B22" s="53" t="s">
        <v>741</v>
      </c>
      <c r="C22" s="74"/>
      <c r="D22" s="74"/>
      <c r="E22" s="42"/>
      <c r="F22" s="99">
        <v>886.2</v>
      </c>
      <c r="G22" s="42"/>
      <c r="H22" s="53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42"/>
      <c r="B23" s="42" t="s">
        <v>221</v>
      </c>
      <c r="C23" s="74"/>
      <c r="D23" s="74"/>
      <c r="E23" s="42"/>
      <c r="F23" s="99"/>
      <c r="G23" s="42"/>
      <c r="H23" s="53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42"/>
      <c r="B24" s="53" t="s">
        <v>718</v>
      </c>
      <c r="C24" s="74"/>
      <c r="D24" s="74"/>
      <c r="E24" s="42"/>
      <c r="F24" s="99">
        <v>111.84</v>
      </c>
      <c r="G24" s="42"/>
      <c r="H24" s="53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42"/>
      <c r="B25" s="53" t="s">
        <v>742</v>
      </c>
      <c r="C25" s="74"/>
      <c r="D25" s="74"/>
      <c r="E25" s="42"/>
      <c r="F25" s="99">
        <v>4710.11</v>
      </c>
      <c r="G25" s="42"/>
      <c r="H25" s="53"/>
      <c r="I25" s="18"/>
      <c r="J25" s="19"/>
      <c r="N25" s="20"/>
      <c r="O25" s="20"/>
      <c r="P25" s="20"/>
      <c r="Q25" s="21"/>
      <c r="R25" s="22"/>
      <c r="S25" s="22"/>
    </row>
    <row r="26" spans="1:19" ht="37.5">
      <c r="A26" s="42"/>
      <c r="B26" s="53" t="s">
        <v>743</v>
      </c>
      <c r="C26" s="74"/>
      <c r="D26" s="74"/>
      <c r="E26" s="42"/>
      <c r="F26" s="99">
        <v>2381.26</v>
      </c>
      <c r="G26" s="42"/>
      <c r="H26" s="53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42"/>
      <c r="B27" s="42" t="s">
        <v>89</v>
      </c>
      <c r="C27" s="74"/>
      <c r="D27" s="74"/>
      <c r="E27" s="42"/>
      <c r="F27" s="99"/>
      <c r="G27" s="42"/>
      <c r="H27" s="53"/>
      <c r="I27" s="18"/>
      <c r="J27" s="19"/>
      <c r="N27" s="20"/>
      <c r="O27" s="20"/>
      <c r="P27" s="20"/>
      <c r="Q27" s="21"/>
      <c r="R27" s="22"/>
      <c r="S27" s="22"/>
    </row>
    <row r="28" spans="1:19" ht="56.25" customHeight="1">
      <c r="A28" s="42"/>
      <c r="B28" s="42" t="s">
        <v>744</v>
      </c>
      <c r="C28" s="74"/>
      <c r="D28" s="74"/>
      <c r="E28" s="42"/>
      <c r="F28" s="99">
        <v>38195.14</v>
      </c>
      <c r="G28" s="42"/>
      <c r="H28" s="53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42"/>
      <c r="B29" s="53" t="s">
        <v>745</v>
      </c>
      <c r="C29" s="74"/>
      <c r="D29" s="74"/>
      <c r="E29" s="42"/>
      <c r="F29" s="99">
        <v>285.96</v>
      </c>
      <c r="G29" s="42"/>
      <c r="H29" s="53"/>
      <c r="I29" s="18"/>
      <c r="J29" s="19"/>
      <c r="N29" s="20"/>
      <c r="O29" s="20"/>
      <c r="P29" s="20"/>
      <c r="Q29" s="21"/>
      <c r="R29" s="22"/>
      <c r="S29" s="22"/>
    </row>
    <row r="30" spans="1:19" ht="18.75">
      <c r="A30" s="42"/>
      <c r="B30" s="42" t="s">
        <v>90</v>
      </c>
      <c r="C30" s="74"/>
      <c r="D30" s="74"/>
      <c r="E30" s="42"/>
      <c r="F30" s="99"/>
      <c r="G30" s="42"/>
      <c r="H30" s="53"/>
      <c r="I30" s="18"/>
      <c r="J30" s="19"/>
      <c r="N30" s="20"/>
      <c r="O30" s="20"/>
      <c r="P30" s="20"/>
      <c r="Q30" s="21"/>
      <c r="R30" s="22"/>
      <c r="S30" s="22"/>
    </row>
    <row r="31" spans="1:19" ht="20.25" customHeight="1">
      <c r="A31" s="42"/>
      <c r="B31" s="53" t="s">
        <v>746</v>
      </c>
      <c r="C31" s="74"/>
      <c r="D31" s="74"/>
      <c r="E31" s="42"/>
      <c r="F31" s="99">
        <v>5449.35</v>
      </c>
      <c r="G31" s="42"/>
      <c r="H31" s="53"/>
      <c r="I31" s="18"/>
      <c r="J31" s="19"/>
      <c r="N31" s="20"/>
      <c r="O31" s="20"/>
      <c r="P31" s="20"/>
      <c r="Q31" s="21"/>
      <c r="R31" s="22"/>
      <c r="S31" s="22"/>
    </row>
    <row r="32" spans="1:19" ht="18.75">
      <c r="A32" s="42"/>
      <c r="B32" s="42" t="s">
        <v>91</v>
      </c>
      <c r="C32" s="74"/>
      <c r="D32" s="74"/>
      <c r="E32" s="42"/>
      <c r="F32" s="99"/>
      <c r="G32" s="42"/>
      <c r="H32" s="53"/>
      <c r="I32" s="18"/>
      <c r="J32" s="19"/>
      <c r="N32" s="20"/>
      <c r="O32" s="20"/>
      <c r="P32" s="20"/>
      <c r="Q32" s="21"/>
      <c r="R32" s="22"/>
      <c r="S32" s="22"/>
    </row>
    <row r="33" spans="1:19" ht="22.5" customHeight="1">
      <c r="A33" s="42"/>
      <c r="B33" s="42" t="s">
        <v>747</v>
      </c>
      <c r="C33" s="74"/>
      <c r="D33" s="74"/>
      <c r="E33" s="42"/>
      <c r="F33" s="99">
        <v>6641.03</v>
      </c>
      <c r="G33" s="42"/>
      <c r="H33" s="53"/>
      <c r="I33" s="18"/>
      <c r="J33" s="19"/>
      <c r="N33" s="20"/>
      <c r="O33" s="20"/>
      <c r="P33" s="20"/>
      <c r="Q33" s="21"/>
      <c r="R33" s="22"/>
      <c r="S33" s="22"/>
    </row>
    <row r="34" spans="1:19" ht="18.75">
      <c r="A34" s="42"/>
      <c r="B34" s="53" t="s">
        <v>748</v>
      </c>
      <c r="C34" s="74"/>
      <c r="D34" s="74"/>
      <c r="E34" s="42"/>
      <c r="F34" s="99">
        <v>560.3</v>
      </c>
      <c r="G34" s="42"/>
      <c r="H34" s="53"/>
      <c r="I34" s="18"/>
      <c r="J34" s="19"/>
      <c r="N34" s="20"/>
      <c r="O34" s="20"/>
      <c r="P34" s="20"/>
      <c r="Q34" s="21"/>
      <c r="R34" s="22"/>
      <c r="S34" s="22"/>
    </row>
    <row r="35" spans="1:19" ht="18.75">
      <c r="A35" s="42"/>
      <c r="B35" s="42" t="s">
        <v>124</v>
      </c>
      <c r="C35" s="74"/>
      <c r="D35" s="74"/>
      <c r="E35" s="42"/>
      <c r="F35" s="99"/>
      <c r="G35" s="42"/>
      <c r="H35" s="53"/>
      <c r="I35" s="18"/>
      <c r="J35" s="19"/>
      <c r="N35" s="20"/>
      <c r="O35" s="20"/>
      <c r="P35" s="20"/>
      <c r="Q35" s="21"/>
      <c r="R35" s="22"/>
      <c r="S35" s="22"/>
    </row>
    <row r="36" spans="1:19" ht="37.5">
      <c r="A36" s="42"/>
      <c r="B36" s="53" t="s">
        <v>749</v>
      </c>
      <c r="C36" s="74"/>
      <c r="D36" s="74"/>
      <c r="E36" s="42"/>
      <c r="F36" s="99">
        <v>9191.89</v>
      </c>
      <c r="G36" s="42"/>
      <c r="H36" s="53"/>
      <c r="I36" s="18"/>
      <c r="J36" s="19"/>
      <c r="N36" s="20"/>
      <c r="O36" s="20"/>
      <c r="P36" s="20"/>
      <c r="Q36" s="21"/>
      <c r="R36" s="22"/>
      <c r="S36" s="22"/>
    </row>
    <row r="37" spans="1:19" ht="16.5" customHeight="1">
      <c r="A37" s="42"/>
      <c r="B37" s="53" t="s">
        <v>750</v>
      </c>
      <c r="C37" s="74"/>
      <c r="D37" s="74"/>
      <c r="E37" s="42"/>
      <c r="F37" s="99">
        <v>1807.75</v>
      </c>
      <c r="G37" s="42"/>
      <c r="H37" s="53"/>
      <c r="I37" s="18"/>
      <c r="J37" s="19"/>
      <c r="N37" s="20"/>
      <c r="O37" s="20"/>
      <c r="P37" s="20"/>
      <c r="Q37" s="21"/>
      <c r="R37" s="22"/>
      <c r="S37" s="22"/>
    </row>
    <row r="38" spans="1:19" ht="18.75">
      <c r="A38" s="42"/>
      <c r="B38" s="42" t="s">
        <v>93</v>
      </c>
      <c r="C38" s="74"/>
      <c r="D38" s="74"/>
      <c r="E38" s="42"/>
      <c r="F38" s="99"/>
      <c r="G38" s="42"/>
      <c r="H38" s="53"/>
      <c r="I38" s="18"/>
      <c r="J38" s="19"/>
      <c r="N38" s="20"/>
      <c r="O38" s="20"/>
      <c r="P38" s="20"/>
      <c r="Q38" s="21"/>
      <c r="R38" s="22"/>
      <c r="S38" s="22"/>
    </row>
    <row r="39" spans="1:19" ht="37.5">
      <c r="A39" s="42"/>
      <c r="B39" s="53" t="s">
        <v>751</v>
      </c>
      <c r="C39" s="74"/>
      <c r="D39" s="74"/>
      <c r="E39" s="42"/>
      <c r="F39" s="99">
        <v>10575.85</v>
      </c>
      <c r="G39" s="42"/>
      <c r="H39" s="53"/>
      <c r="I39" s="18"/>
      <c r="J39" s="19"/>
      <c r="N39" s="20"/>
      <c r="O39" s="20"/>
      <c r="P39" s="20"/>
      <c r="Q39" s="21"/>
      <c r="R39" s="22"/>
      <c r="S39" s="22"/>
    </row>
    <row r="40" spans="1:19" ht="18.75">
      <c r="A40" s="42"/>
      <c r="B40" s="53" t="s">
        <v>752</v>
      </c>
      <c r="C40" s="74"/>
      <c r="D40" s="74"/>
      <c r="E40" s="42"/>
      <c r="F40" s="99">
        <v>550.04</v>
      </c>
      <c r="G40" s="42"/>
      <c r="H40" s="53"/>
      <c r="I40" s="18"/>
      <c r="J40" s="19"/>
      <c r="N40" s="20"/>
      <c r="O40" s="20"/>
      <c r="P40" s="20"/>
      <c r="Q40" s="21"/>
      <c r="R40" s="22"/>
      <c r="S40" s="22"/>
    </row>
    <row r="41" spans="1:19" ht="20.25" customHeight="1">
      <c r="A41" s="42"/>
      <c r="B41" s="53" t="s">
        <v>753</v>
      </c>
      <c r="C41" s="74"/>
      <c r="D41" s="74"/>
      <c r="E41" s="42"/>
      <c r="F41" s="99">
        <v>188.95</v>
      </c>
      <c r="G41" s="42"/>
      <c r="H41" s="53"/>
      <c r="I41" s="18"/>
      <c r="J41" s="19"/>
      <c r="N41" s="20"/>
      <c r="O41" s="20"/>
      <c r="P41" s="20"/>
      <c r="Q41" s="21"/>
      <c r="R41" s="22"/>
      <c r="S41" s="22"/>
    </row>
    <row r="42" spans="1:19" ht="18.75">
      <c r="A42" s="42"/>
      <c r="B42" s="42" t="s">
        <v>94</v>
      </c>
      <c r="C42" s="74"/>
      <c r="D42" s="74"/>
      <c r="E42" s="42"/>
      <c r="F42" s="99"/>
      <c r="G42" s="42"/>
      <c r="H42" s="53"/>
      <c r="I42" s="18"/>
      <c r="J42" s="19"/>
      <c r="N42" s="20"/>
      <c r="O42" s="20"/>
      <c r="P42" s="20"/>
      <c r="Q42" s="21"/>
      <c r="R42" s="22"/>
      <c r="S42" s="22"/>
    </row>
    <row r="43" spans="1:19" ht="18.75" customHeight="1">
      <c r="A43" s="42"/>
      <c r="B43" s="53" t="s">
        <v>754</v>
      </c>
      <c r="C43" s="74"/>
      <c r="D43" s="74"/>
      <c r="E43" s="42"/>
      <c r="F43" s="99">
        <v>10338.96</v>
      </c>
      <c r="G43" s="42"/>
      <c r="H43" s="53"/>
      <c r="I43" s="18"/>
      <c r="J43" s="19"/>
      <c r="N43" s="20"/>
      <c r="O43" s="20"/>
      <c r="P43" s="20"/>
      <c r="Q43" s="21"/>
      <c r="R43" s="22"/>
      <c r="S43" s="22"/>
    </row>
    <row r="44" spans="1:19" ht="18.75">
      <c r="A44" s="42"/>
      <c r="B44" s="53" t="s">
        <v>755</v>
      </c>
      <c r="C44" s="74"/>
      <c r="D44" s="74"/>
      <c r="E44" s="42"/>
      <c r="F44" s="99">
        <v>415.08</v>
      </c>
      <c r="G44" s="42"/>
      <c r="H44" s="53"/>
      <c r="I44" s="18"/>
      <c r="J44" s="19"/>
      <c r="N44" s="20"/>
      <c r="O44" s="20"/>
      <c r="P44" s="20"/>
      <c r="Q44" s="21"/>
      <c r="R44" s="22"/>
      <c r="S44" s="22"/>
    </row>
    <row r="45" spans="1:19" ht="37.5">
      <c r="A45" s="42"/>
      <c r="B45" s="53" t="s">
        <v>756</v>
      </c>
      <c r="C45" s="74"/>
      <c r="D45" s="74"/>
      <c r="E45" s="42"/>
      <c r="F45" s="99">
        <v>1993.49</v>
      </c>
      <c r="G45" s="42"/>
      <c r="H45" s="53"/>
      <c r="I45" s="18"/>
      <c r="J45" s="19"/>
      <c r="N45" s="20"/>
      <c r="O45" s="20"/>
      <c r="P45" s="20"/>
      <c r="Q45" s="21"/>
      <c r="R45" s="22"/>
      <c r="S45" s="22"/>
    </row>
    <row r="46" spans="1:19" ht="18.75">
      <c r="A46" s="42"/>
      <c r="B46" s="42" t="s">
        <v>98</v>
      </c>
      <c r="C46" s="74"/>
      <c r="D46" s="74"/>
      <c r="E46" s="42"/>
      <c r="F46" s="99"/>
      <c r="G46" s="42"/>
      <c r="H46" s="53"/>
      <c r="I46" s="18"/>
      <c r="J46" s="19"/>
      <c r="N46" s="20"/>
      <c r="O46" s="20"/>
      <c r="P46" s="20"/>
      <c r="Q46" s="21"/>
      <c r="R46" s="22"/>
      <c r="S46" s="22"/>
    </row>
    <row r="47" spans="1:19" ht="37.5">
      <c r="A47" s="42"/>
      <c r="B47" s="53" t="s">
        <v>757</v>
      </c>
      <c r="C47" s="74"/>
      <c r="D47" s="74"/>
      <c r="E47" s="42"/>
      <c r="F47" s="99">
        <v>8390.23</v>
      </c>
      <c r="G47" s="42"/>
      <c r="H47" s="53"/>
      <c r="I47" s="18"/>
      <c r="J47" s="19"/>
      <c r="N47" s="20"/>
      <c r="O47" s="20"/>
      <c r="P47" s="20"/>
      <c r="Q47" s="21"/>
      <c r="R47" s="22"/>
      <c r="S47" s="22"/>
    </row>
    <row r="48" spans="1:19" ht="18.75">
      <c r="A48" s="42"/>
      <c r="B48" s="53" t="s">
        <v>758</v>
      </c>
      <c r="C48" s="74"/>
      <c r="D48" s="74"/>
      <c r="E48" s="42"/>
      <c r="F48" s="99">
        <v>451.25</v>
      </c>
      <c r="G48" s="42"/>
      <c r="H48" s="53"/>
      <c r="I48" s="18"/>
      <c r="J48" s="19"/>
      <c r="N48" s="20"/>
      <c r="O48" s="20"/>
      <c r="P48" s="20"/>
      <c r="Q48" s="21"/>
      <c r="R48" s="22"/>
      <c r="S48" s="22"/>
    </row>
    <row r="49" spans="1:19" ht="18.75">
      <c r="A49" s="42"/>
      <c r="B49" s="42" t="s">
        <v>95</v>
      </c>
      <c r="C49" s="74"/>
      <c r="D49" s="74"/>
      <c r="E49" s="42"/>
      <c r="F49" s="99"/>
      <c r="G49" s="42"/>
      <c r="H49" s="53"/>
      <c r="I49" s="18"/>
      <c r="J49" s="19"/>
      <c r="N49" s="20"/>
      <c r="O49" s="20"/>
      <c r="P49" s="20"/>
      <c r="Q49" s="21"/>
      <c r="R49" s="22"/>
      <c r="S49" s="22"/>
    </row>
    <row r="50" spans="1:19" ht="60.75" customHeight="1">
      <c r="A50" s="42"/>
      <c r="B50" s="53" t="s">
        <v>759</v>
      </c>
      <c r="C50" s="74"/>
      <c r="D50" s="74"/>
      <c r="E50" s="42"/>
      <c r="F50" s="99">
        <v>24983.44</v>
      </c>
      <c r="G50" s="42"/>
      <c r="H50" s="53"/>
      <c r="I50" s="18"/>
      <c r="J50" s="19"/>
      <c r="N50" s="20"/>
      <c r="O50" s="20"/>
      <c r="P50" s="20"/>
      <c r="Q50" s="21"/>
      <c r="R50" s="22"/>
      <c r="S50" s="22"/>
    </row>
    <row r="51" spans="1:19" ht="18.75">
      <c r="A51" s="42"/>
      <c r="B51" s="53" t="s">
        <v>760</v>
      </c>
      <c r="C51" s="74"/>
      <c r="D51" s="74"/>
      <c r="E51" s="42"/>
      <c r="F51" s="99">
        <v>635.65</v>
      </c>
      <c r="G51" s="42"/>
      <c r="H51" s="53"/>
      <c r="I51" s="18"/>
      <c r="J51" s="19"/>
      <c r="N51" s="20"/>
      <c r="O51" s="20"/>
      <c r="P51" s="20"/>
      <c r="Q51" s="21"/>
      <c r="R51" s="22"/>
      <c r="S51" s="22"/>
    </row>
    <row r="52" spans="1:19" ht="18.75">
      <c r="A52" s="42"/>
      <c r="B52" s="42" t="s">
        <v>96</v>
      </c>
      <c r="C52" s="74"/>
      <c r="D52" s="74"/>
      <c r="E52" s="42"/>
      <c r="F52" s="99"/>
      <c r="G52" s="42"/>
      <c r="H52" s="53"/>
      <c r="I52" s="18"/>
      <c r="J52" s="19"/>
      <c r="N52" s="20"/>
      <c r="O52" s="20"/>
      <c r="P52" s="20"/>
      <c r="Q52" s="21"/>
      <c r="R52" s="22"/>
      <c r="S52" s="22"/>
    </row>
    <row r="53" spans="1:19" ht="37.5" customHeight="1">
      <c r="A53" s="42"/>
      <c r="B53" s="53" t="s">
        <v>761</v>
      </c>
      <c r="C53" s="74"/>
      <c r="D53" s="74"/>
      <c r="E53" s="42"/>
      <c r="F53" s="99">
        <v>4653.78</v>
      </c>
      <c r="G53" s="77"/>
      <c r="H53" s="53"/>
      <c r="I53" s="18"/>
      <c r="J53" s="19"/>
      <c r="N53" s="20"/>
      <c r="O53" s="20"/>
      <c r="P53" s="20"/>
      <c r="Q53" s="21"/>
      <c r="R53" s="22"/>
      <c r="S53" s="22"/>
    </row>
    <row r="54" spans="1:19" ht="37.5">
      <c r="A54" s="42"/>
      <c r="B54" s="53" t="s">
        <v>762</v>
      </c>
      <c r="C54" s="74"/>
      <c r="D54" s="74"/>
      <c r="E54" s="42"/>
      <c r="F54" s="99">
        <v>993.66</v>
      </c>
      <c r="G54" s="42"/>
      <c r="H54" s="53"/>
      <c r="I54" s="18"/>
      <c r="J54" s="19"/>
      <c r="N54" s="20"/>
      <c r="O54" s="20"/>
      <c r="P54" s="20"/>
      <c r="Q54" s="21"/>
      <c r="R54" s="22"/>
      <c r="S54" s="22"/>
    </row>
    <row r="55" spans="1:19" ht="18.75">
      <c r="A55" s="42"/>
      <c r="B55" s="42" t="s">
        <v>83</v>
      </c>
      <c r="C55" s="74"/>
      <c r="D55" s="74"/>
      <c r="E55" s="42"/>
      <c r="F55" s="99"/>
      <c r="G55" s="42"/>
      <c r="H55" s="53"/>
      <c r="I55" s="18"/>
      <c r="J55" s="19"/>
      <c r="N55" s="20"/>
      <c r="O55" s="20"/>
      <c r="P55" s="20"/>
      <c r="Q55" s="21"/>
      <c r="R55" s="22"/>
      <c r="S55" s="22"/>
    </row>
    <row r="56" spans="1:19" ht="44.25" customHeight="1">
      <c r="A56" s="42"/>
      <c r="B56" s="53" t="s">
        <v>763</v>
      </c>
      <c r="C56" s="74"/>
      <c r="D56" s="74"/>
      <c r="E56" s="42"/>
      <c r="F56" s="99">
        <v>5597.23</v>
      </c>
      <c r="G56" s="42"/>
      <c r="H56" s="53"/>
      <c r="I56" s="18"/>
      <c r="J56" s="19"/>
      <c r="N56" s="20"/>
      <c r="O56" s="20"/>
      <c r="P56" s="20"/>
      <c r="Q56" s="21"/>
      <c r="R56" s="22"/>
      <c r="S56" s="22"/>
    </row>
    <row r="57" spans="1:19" ht="21.75" customHeight="1">
      <c r="A57" s="42"/>
      <c r="B57" s="53" t="s">
        <v>764</v>
      </c>
      <c r="C57" s="74"/>
      <c r="D57" s="74"/>
      <c r="E57" s="42"/>
      <c r="F57" s="99">
        <v>637.44</v>
      </c>
      <c r="G57" s="42"/>
      <c r="H57" s="53"/>
      <c r="I57" s="18"/>
      <c r="J57" s="19"/>
      <c r="N57" s="20"/>
      <c r="O57" s="20"/>
      <c r="P57" s="20"/>
      <c r="Q57" s="21"/>
      <c r="R57" s="22"/>
      <c r="S57" s="22"/>
    </row>
    <row r="58" spans="1:19" ht="37.5">
      <c r="A58" s="42"/>
      <c r="B58" s="14" t="s">
        <v>943</v>
      </c>
      <c r="C58" s="74"/>
      <c r="D58" s="74"/>
      <c r="E58" s="42">
        <v>-1873.15</v>
      </c>
      <c r="F58" s="99">
        <f>E58</f>
        <v>-1873.15</v>
      </c>
      <c r="G58" s="42"/>
      <c r="H58" s="53"/>
      <c r="I58" s="18"/>
      <c r="J58" s="19"/>
      <c r="N58" s="20"/>
      <c r="O58" s="20"/>
      <c r="P58" s="20"/>
      <c r="Q58" s="21"/>
      <c r="R58" s="22"/>
      <c r="S58" s="22"/>
    </row>
    <row r="59" spans="1:24" ht="18.75">
      <c r="A59" s="53"/>
      <c r="B59" s="53" t="s">
        <v>9</v>
      </c>
      <c r="C59" s="42">
        <f>SUM(C13:C40)</f>
        <v>9.01</v>
      </c>
      <c r="D59" s="42">
        <f>SUM(D13:D40)</f>
        <v>9.6</v>
      </c>
      <c r="E59" s="42">
        <f>SUM(E13:E40)+E58</f>
        <v>297050.71939999994</v>
      </c>
      <c r="F59" s="42">
        <f>F13+F14+F15+F16+F17+F18+F58</f>
        <v>291274.5584</v>
      </c>
      <c r="G59" s="42">
        <f>G13+G14+G15+G16+G17+G18</f>
        <v>308400.76800000004</v>
      </c>
      <c r="H59" s="53">
        <f>1.04993597951*C59</f>
        <v>9.4599231753851</v>
      </c>
      <c r="I59" s="18">
        <f>1.12035851472*C59</f>
        <v>10.094430217627199</v>
      </c>
      <c r="J59" s="19">
        <f>J18</f>
        <v>0</v>
      </c>
      <c r="N59" s="20"/>
      <c r="Q59" s="24"/>
      <c r="R59" s="22">
        <f>SUM(R13:R40)</f>
        <v>8.620000000000001</v>
      </c>
      <c r="S59" s="22">
        <f>SUM(S13:S40)</f>
        <v>9.16</v>
      </c>
      <c r="T59" s="22"/>
      <c r="U59" s="22"/>
      <c r="V59" s="22">
        <f>SUM(V13:V40)</f>
        <v>38228.8452</v>
      </c>
      <c r="W59" s="22">
        <f>SUM(W13:W40)</f>
        <v>39835.099200000004</v>
      </c>
      <c r="X59" s="22">
        <f>SUM(X13:X40)</f>
        <v>78063.94440000001</v>
      </c>
    </row>
    <row r="60" spans="1:43" ht="20.25">
      <c r="A60" s="13">
        <v>5</v>
      </c>
      <c r="B60" s="54" t="s">
        <v>26</v>
      </c>
      <c r="C60" s="127">
        <v>1.58</v>
      </c>
      <c r="D60" s="127">
        <v>1.85</v>
      </c>
      <c r="E60" s="128">
        <f>AD60*AE60*6</f>
        <v>48990.747</v>
      </c>
      <c r="F60" s="129">
        <f>E60</f>
        <v>48990.747</v>
      </c>
      <c r="G60" s="129">
        <f>AD60*12*AH60</f>
        <v>60716.4012</v>
      </c>
      <c r="H60" s="69" t="e">
        <f>#REF!</f>
        <v>#REF!</v>
      </c>
      <c r="I60" s="22">
        <f>C60+D60</f>
        <v>3.43</v>
      </c>
      <c r="J60" s="34">
        <v>3.43</v>
      </c>
      <c r="K60">
        <v>10</v>
      </c>
      <c r="L60">
        <v>2</v>
      </c>
      <c r="N60" s="20">
        <f>C60*J60*K60</f>
        <v>54.194</v>
      </c>
      <c r="O60" s="20" t="e">
        <f>#REF!*J60*L60</f>
        <v>#REF!</v>
      </c>
      <c r="P60" s="20" t="e">
        <f>SUM(N60:O60)</f>
        <v>#REF!</v>
      </c>
      <c r="Q60" s="21"/>
      <c r="R60" s="22">
        <v>1.47</v>
      </c>
      <c r="S60">
        <v>1.58</v>
      </c>
      <c r="T60">
        <v>6</v>
      </c>
      <c r="U60">
        <v>6</v>
      </c>
      <c r="V60">
        <f>R60*J60*T60</f>
        <v>30.2526</v>
      </c>
      <c r="W60">
        <f>S60*U60*J60</f>
        <v>32.516400000000004</v>
      </c>
      <c r="X60">
        <f>SUM(V60:W60)</f>
        <v>62.769000000000005</v>
      </c>
      <c r="AD60" s="69">
        <f>C7</f>
        <v>2677.09</v>
      </c>
      <c r="AE60">
        <v>3.05</v>
      </c>
      <c r="AF60" s="69">
        <f>C22</f>
        <v>0</v>
      </c>
      <c r="AG60">
        <v>3.05</v>
      </c>
      <c r="AH60">
        <v>1.89</v>
      </c>
      <c r="AO60" s="69">
        <f>C18</f>
        <v>4.47</v>
      </c>
      <c r="AP60">
        <v>3.05</v>
      </c>
      <c r="AQ60">
        <v>3.43</v>
      </c>
    </row>
    <row r="61" spans="1:17" ht="18.75">
      <c r="A61" s="55"/>
      <c r="B61" s="56"/>
      <c r="C61" s="55"/>
      <c r="D61" s="55"/>
      <c r="E61" s="55"/>
      <c r="F61" s="55"/>
      <c r="G61" s="55"/>
      <c r="H61" s="55"/>
      <c r="Q61" s="24"/>
    </row>
    <row r="62" spans="1:17" ht="18.75" customHeight="1">
      <c r="A62" s="179" t="s">
        <v>941</v>
      </c>
      <c r="B62" s="179"/>
      <c r="C62" s="193">
        <v>41047.02</v>
      </c>
      <c r="D62" s="193"/>
      <c r="E62" s="55" t="s">
        <v>18</v>
      </c>
      <c r="F62" s="55"/>
      <c r="G62" s="55"/>
      <c r="H62" s="55"/>
      <c r="Q62" s="24"/>
    </row>
    <row r="63" spans="1:17" ht="18.75" customHeight="1">
      <c r="A63" s="179" t="s">
        <v>942</v>
      </c>
      <c r="B63" s="179"/>
      <c r="C63" s="193">
        <v>46080.92</v>
      </c>
      <c r="D63" s="193"/>
      <c r="E63" s="55" t="s">
        <v>18</v>
      </c>
      <c r="F63" s="55"/>
      <c r="G63" s="55"/>
      <c r="H63" s="55"/>
      <c r="Q63" s="24"/>
    </row>
    <row r="64" spans="1:8" ht="18.75">
      <c r="A64" s="207" t="s">
        <v>17</v>
      </c>
      <c r="B64" s="207"/>
      <c r="C64" s="207"/>
      <c r="D64" s="207"/>
      <c r="E64" s="207"/>
      <c r="F64" s="207"/>
      <c r="G64" s="207"/>
      <c r="H64" s="55"/>
    </row>
    <row r="65" spans="1:8" ht="18.75" customHeight="1" hidden="1">
      <c r="A65" s="206" t="s">
        <v>35</v>
      </c>
      <c r="B65" s="206"/>
      <c r="C65" s="52" t="e">
        <f>C62-#REF!</f>
        <v>#REF!</v>
      </c>
      <c r="D65" s="55" t="s">
        <v>18</v>
      </c>
      <c r="E65" s="55"/>
      <c r="F65" s="55"/>
      <c r="G65" s="55"/>
      <c r="H65" s="55"/>
    </row>
    <row r="66" spans="1:8" ht="18.75" customHeight="1" hidden="1">
      <c r="A66" s="206" t="s">
        <v>36</v>
      </c>
      <c r="B66" s="206"/>
      <c r="C66" s="96">
        <f>E59-F59</f>
        <v>5776.160999999964</v>
      </c>
      <c r="D66" s="96" t="str">
        <f>D65</f>
        <v>рублей</v>
      </c>
      <c r="E66" s="70"/>
      <c r="F66" s="70"/>
      <c r="G66" s="70"/>
      <c r="H66" s="60"/>
    </row>
  </sheetData>
  <sheetProtection/>
  <mergeCells count="18">
    <mergeCell ref="C63:D63"/>
    <mergeCell ref="A1:G2"/>
    <mergeCell ref="A3:G3"/>
    <mergeCell ref="A4:H5"/>
    <mergeCell ref="F9:F11"/>
    <mergeCell ref="G9:G11"/>
    <mergeCell ref="A62:B62"/>
    <mergeCell ref="A63:B63"/>
    <mergeCell ref="A64:G64"/>
    <mergeCell ref="A65:B65"/>
    <mergeCell ref="A66:B66"/>
    <mergeCell ref="J9:Q12"/>
    <mergeCell ref="R9:X12"/>
    <mergeCell ref="A9:A11"/>
    <mergeCell ref="B9:B11"/>
    <mergeCell ref="C9:D10"/>
    <mergeCell ref="E9:E11"/>
    <mergeCell ref="C62:D6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7" r:id="rId1"/>
  <rowBreaks count="1" manualBreakCount="1">
    <brk id="51" max="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</sheetPr>
  <dimension ref="A1:AH71"/>
  <sheetViews>
    <sheetView view="pageBreakPreview" zoomScale="75" zoomScaleSheetLayoutView="75" zoomScalePageLayoutView="0" workbookViewId="0" topLeftCell="B31">
      <selection activeCell="B41" sqref="A41:IV41"/>
    </sheetView>
  </sheetViews>
  <sheetFormatPr defaultColWidth="9.00390625" defaultRowHeight="12.75"/>
  <cols>
    <col min="1" max="1" width="9.25390625" style="0" bestFit="1" customWidth="1"/>
    <col min="2" max="2" width="47.875" style="0" customWidth="1"/>
    <col min="3" max="3" width="11.75390625" style="0" customWidth="1"/>
    <col min="4" max="4" width="12.00390625" style="0" customWidth="1"/>
    <col min="5" max="5" width="16.25390625" style="0" customWidth="1"/>
    <col min="6" max="6" width="15.625" style="0" bestFit="1" customWidth="1"/>
    <col min="7" max="7" width="12.875" style="0" bestFit="1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8" width="0" style="0" hidden="1" customWidth="1"/>
  </cols>
  <sheetData>
    <row r="1" spans="1:8" ht="18.75">
      <c r="A1" s="193" t="s">
        <v>25</v>
      </c>
      <c r="B1" s="193"/>
      <c r="C1" s="193"/>
      <c r="D1" s="193"/>
      <c r="E1" s="193"/>
      <c r="F1" s="193"/>
      <c r="G1" s="193"/>
      <c r="H1" s="55"/>
    </row>
    <row r="2" spans="1:8" ht="18.75">
      <c r="A2" s="193"/>
      <c r="B2" s="193"/>
      <c r="C2" s="193"/>
      <c r="D2" s="193"/>
      <c r="E2" s="193"/>
      <c r="F2" s="193"/>
      <c r="G2" s="193"/>
      <c r="H2" s="55"/>
    </row>
    <row r="3" spans="1:8" ht="40.5" customHeight="1">
      <c r="A3" s="193" t="s">
        <v>67</v>
      </c>
      <c r="B3" s="193"/>
      <c r="C3" s="193"/>
      <c r="D3" s="193"/>
      <c r="E3" s="193"/>
      <c r="F3" s="193"/>
      <c r="G3" s="193"/>
      <c r="H3" s="52"/>
    </row>
    <row r="4" spans="1:8" ht="12.75">
      <c r="A4" s="193" t="s">
        <v>110</v>
      </c>
      <c r="B4" s="193"/>
      <c r="C4" s="193"/>
      <c r="D4" s="193"/>
      <c r="E4" s="193"/>
      <c r="F4" s="193"/>
      <c r="G4" s="193"/>
      <c r="H4" s="193"/>
    </row>
    <row r="5" spans="1:8" ht="12.75">
      <c r="A5" s="193"/>
      <c r="B5" s="193"/>
      <c r="C5" s="193"/>
      <c r="D5" s="193"/>
      <c r="E5" s="193"/>
      <c r="F5" s="193"/>
      <c r="G5" s="193"/>
      <c r="H5" s="193"/>
    </row>
    <row r="6" spans="1:8" ht="18.75">
      <c r="A6" s="52"/>
      <c r="B6" s="52"/>
      <c r="C6" s="52"/>
      <c r="D6" s="52"/>
      <c r="E6" s="52"/>
      <c r="F6" s="52"/>
      <c r="G6" s="52"/>
      <c r="H6" s="52"/>
    </row>
    <row r="7" spans="1:8" ht="22.5">
      <c r="A7" s="59"/>
      <c r="B7" s="57" t="s">
        <v>5</v>
      </c>
      <c r="C7" s="52">
        <v>364.5</v>
      </c>
      <c r="D7" s="52" t="s">
        <v>31</v>
      </c>
      <c r="E7" s="55"/>
      <c r="F7" s="55"/>
      <c r="G7" s="55"/>
      <c r="H7" s="55"/>
    </row>
    <row r="8" spans="1:8" ht="18.75">
      <c r="A8" s="59"/>
      <c r="B8" s="52"/>
      <c r="C8" s="52"/>
      <c r="D8" s="52"/>
      <c r="E8" s="52"/>
      <c r="F8" s="52"/>
      <c r="G8" s="52"/>
      <c r="H8" s="52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44" t="s">
        <v>99</v>
      </c>
      <c r="F9" s="247" t="s">
        <v>74</v>
      </c>
      <c r="G9" s="244" t="s">
        <v>218</v>
      </c>
      <c r="H9" s="53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78" customHeight="1">
      <c r="A10" s="212"/>
      <c r="B10" s="212"/>
      <c r="C10" s="216"/>
      <c r="D10" s="217"/>
      <c r="E10" s="245"/>
      <c r="F10" s="248"/>
      <c r="G10" s="245"/>
      <c r="H10" s="53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132.75" customHeight="1">
      <c r="A11" s="213"/>
      <c r="B11" s="213"/>
      <c r="C11" s="124" t="s">
        <v>107</v>
      </c>
      <c r="D11" s="124" t="s">
        <v>106</v>
      </c>
      <c r="E11" s="246"/>
      <c r="F11" s="249"/>
      <c r="G11" s="246"/>
      <c r="H11" s="53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42" t="s">
        <v>12</v>
      </c>
      <c r="B12" s="53" t="s">
        <v>20</v>
      </c>
      <c r="C12" s="74"/>
      <c r="D12" s="74"/>
      <c r="E12" s="42"/>
      <c r="F12" s="42"/>
      <c r="G12" s="42"/>
      <c r="H12" s="53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1" ht="18.75">
      <c r="A13" s="42" t="s">
        <v>13</v>
      </c>
      <c r="B13" s="53" t="s">
        <v>10</v>
      </c>
      <c r="C13" s="34">
        <v>1.09</v>
      </c>
      <c r="D13" s="34">
        <v>1.14</v>
      </c>
      <c r="E13" s="42">
        <f aca="true" t="shared" si="0" ref="E13:E18">AC13*6*AD13</f>
        <v>4877.01</v>
      </c>
      <c r="F13" s="42">
        <f>E13</f>
        <v>4877.01</v>
      </c>
      <c r="G13" s="42">
        <f aca="true" t="shared" si="1" ref="G13:G18">AC13*AE13*12</f>
        <v>4986.36</v>
      </c>
      <c r="H13" s="53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364.5</v>
      </c>
      <c r="K13">
        <v>6</v>
      </c>
      <c r="L13">
        <v>2</v>
      </c>
      <c r="M13">
        <v>4</v>
      </c>
      <c r="N13" s="20">
        <f aca="true" t="shared" si="4" ref="N13:N18">C13*J13*K13</f>
        <v>2383.83</v>
      </c>
      <c r="O13" s="20" t="e">
        <f>J13*#REF!*L13</f>
        <v>#REF!</v>
      </c>
      <c r="P13" s="20">
        <f aca="true" t="shared" si="5" ref="P13:P18">D13*J13*M13</f>
        <v>1662.12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2296.3500000000004</v>
      </c>
      <c r="W13">
        <f aca="true" t="shared" si="8" ref="W13:W18">U13*S13*J13</f>
        <v>2383.8300000000004</v>
      </c>
      <c r="X13">
        <f aca="true" t="shared" si="9" ref="X13:X18">SUM(V13:W13)</f>
        <v>4680.18</v>
      </c>
      <c r="AC13" s="69">
        <f>C7</f>
        <v>364.5</v>
      </c>
      <c r="AD13" s="22">
        <f aca="true" t="shared" si="10" ref="AD13:AD18">C13+D13</f>
        <v>2.23</v>
      </c>
      <c r="AE13" s="34">
        <v>1.14</v>
      </c>
    </row>
    <row r="14" spans="1:31" ht="37.5">
      <c r="A14" s="42" t="s">
        <v>14</v>
      </c>
      <c r="B14" s="53" t="s">
        <v>15</v>
      </c>
      <c r="C14" s="34">
        <v>1.39</v>
      </c>
      <c r="D14" s="34">
        <v>1.46</v>
      </c>
      <c r="E14" s="42">
        <f t="shared" si="0"/>
        <v>6232.949999999999</v>
      </c>
      <c r="F14" s="42">
        <f>E14</f>
        <v>6232.949999999999</v>
      </c>
      <c r="G14" s="42">
        <f t="shared" si="1"/>
        <v>6386.039999999999</v>
      </c>
      <c r="H14" s="53">
        <f t="shared" si="2"/>
        <v>1.4594110115189</v>
      </c>
      <c r="I14" s="18">
        <f t="shared" si="3"/>
        <v>1.5572983354607999</v>
      </c>
      <c r="J14" s="19">
        <f>J13</f>
        <v>364.5</v>
      </c>
      <c r="K14">
        <v>6</v>
      </c>
      <c r="L14">
        <v>2</v>
      </c>
      <c r="M14">
        <v>4</v>
      </c>
      <c r="N14" s="20">
        <f t="shared" si="4"/>
        <v>3039.93</v>
      </c>
      <c r="O14" s="20" t="e">
        <f>J14*#REF!*L14</f>
        <v>#REF!</v>
      </c>
      <c r="P14" s="20">
        <f t="shared" si="5"/>
        <v>2128.68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2908.71</v>
      </c>
      <c r="W14">
        <f t="shared" si="8"/>
        <v>3039.93</v>
      </c>
      <c r="X14">
        <f t="shared" si="9"/>
        <v>5948.639999999999</v>
      </c>
      <c r="AC14">
        <f>AC13</f>
        <v>364.5</v>
      </c>
      <c r="AD14" s="22">
        <f t="shared" si="10"/>
        <v>2.8499999999999996</v>
      </c>
      <c r="AE14" s="34">
        <v>1.46</v>
      </c>
    </row>
    <row r="15" spans="1:31" ht="18.75">
      <c r="A15" s="42" t="s">
        <v>16</v>
      </c>
      <c r="B15" s="53" t="s">
        <v>7</v>
      </c>
      <c r="C15" s="34"/>
      <c r="D15" s="34"/>
      <c r="E15" s="42"/>
      <c r="F15" s="42"/>
      <c r="G15" s="42"/>
      <c r="H15" s="53"/>
      <c r="I15" s="18"/>
      <c r="J15" s="19"/>
      <c r="N15" s="20"/>
      <c r="O15" s="20"/>
      <c r="P15" s="20"/>
      <c r="Q15" s="21"/>
      <c r="R15" s="22"/>
      <c r="S15" s="22"/>
      <c r="AD15" s="22"/>
      <c r="AE15" s="34"/>
    </row>
    <row r="16" spans="1:31" ht="18.75">
      <c r="A16" s="42" t="s">
        <v>21</v>
      </c>
      <c r="B16" s="53" t="s">
        <v>11</v>
      </c>
      <c r="C16" s="34">
        <v>0.82</v>
      </c>
      <c r="D16" s="34">
        <v>0.58</v>
      </c>
      <c r="E16" s="42">
        <f t="shared" si="0"/>
        <v>3061.7999999999997</v>
      </c>
      <c r="F16" s="42">
        <f>E16</f>
        <v>3061.7999999999997</v>
      </c>
      <c r="G16" s="42">
        <f t="shared" si="1"/>
        <v>2536.92</v>
      </c>
      <c r="H16" s="53">
        <f t="shared" si="2"/>
        <v>0.8609475031982</v>
      </c>
      <c r="I16" s="18">
        <f t="shared" si="3"/>
        <v>0.9186939820703999</v>
      </c>
      <c r="J16" s="19">
        <f>J15</f>
        <v>0</v>
      </c>
      <c r="K16">
        <v>6</v>
      </c>
      <c r="L16">
        <v>2</v>
      </c>
      <c r="M16">
        <v>4</v>
      </c>
      <c r="N16" s="20">
        <f t="shared" si="4"/>
        <v>0</v>
      </c>
      <c r="O16" s="20" t="e">
        <f>J16*#REF!*L16</f>
        <v>#REF!</v>
      </c>
      <c r="P16" s="20">
        <f t="shared" si="5"/>
        <v>0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0</v>
      </c>
      <c r="W16">
        <f t="shared" si="8"/>
        <v>0</v>
      </c>
      <c r="X16">
        <f t="shared" si="9"/>
        <v>0</v>
      </c>
      <c r="AC16">
        <f>AC14</f>
        <v>364.5</v>
      </c>
      <c r="AD16" s="22">
        <f t="shared" si="10"/>
        <v>1.4</v>
      </c>
      <c r="AE16" s="34">
        <v>0.58</v>
      </c>
    </row>
    <row r="17" spans="1:31" ht="18.75">
      <c r="A17" s="42" t="s">
        <v>22</v>
      </c>
      <c r="B17" s="53" t="s">
        <v>19</v>
      </c>
      <c r="C17" s="34">
        <v>1.24</v>
      </c>
      <c r="D17" s="34">
        <v>1.24</v>
      </c>
      <c r="E17" s="42">
        <f t="shared" si="0"/>
        <v>5423.76</v>
      </c>
      <c r="F17" s="42">
        <f>E17</f>
        <v>5423.76</v>
      </c>
      <c r="G17" s="42">
        <f t="shared" si="1"/>
        <v>5423.76</v>
      </c>
      <c r="H17" s="53">
        <f t="shared" si="2"/>
        <v>1.3019206145924</v>
      </c>
      <c r="I17" s="18">
        <f t="shared" si="3"/>
        <v>1.3892445582528</v>
      </c>
      <c r="J17" s="19">
        <f>J16</f>
        <v>0</v>
      </c>
      <c r="K17">
        <v>6</v>
      </c>
      <c r="L17">
        <v>2</v>
      </c>
      <c r="M17">
        <v>4</v>
      </c>
      <c r="N17" s="20">
        <f t="shared" si="4"/>
        <v>0</v>
      </c>
      <c r="O17" s="20" t="e">
        <f>J17*#REF!*L17</f>
        <v>#REF!</v>
      </c>
      <c r="P17" s="20">
        <f t="shared" si="5"/>
        <v>0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0</v>
      </c>
      <c r="W17">
        <f t="shared" si="8"/>
        <v>0</v>
      </c>
      <c r="X17">
        <f t="shared" si="9"/>
        <v>0</v>
      </c>
      <c r="AC17">
        <f>AC16</f>
        <v>364.5</v>
      </c>
      <c r="AD17" s="22">
        <f t="shared" si="10"/>
        <v>2.48</v>
      </c>
      <c r="AE17" s="34">
        <v>1.24</v>
      </c>
    </row>
    <row r="18" spans="1:31" ht="75">
      <c r="A18" s="42" t="s">
        <v>23</v>
      </c>
      <c r="B18" s="53" t="s">
        <v>24</v>
      </c>
      <c r="C18" s="34">
        <v>4.47</v>
      </c>
      <c r="D18" s="34">
        <v>5.18</v>
      </c>
      <c r="E18" s="42">
        <f t="shared" si="0"/>
        <v>21104.549999999996</v>
      </c>
      <c r="F18" s="99">
        <f>F20+F21+F23+F25+F27+F29+F31+F33+F35+F36+F38+F40</f>
        <v>27210.27</v>
      </c>
      <c r="G18" s="42">
        <f t="shared" si="1"/>
        <v>22657.32</v>
      </c>
      <c r="H18" s="53">
        <f t="shared" si="2"/>
        <v>4.6932138284097</v>
      </c>
      <c r="I18" s="18">
        <f t="shared" si="3"/>
        <v>5.008002560798399</v>
      </c>
      <c r="J18" s="19">
        <f>J17</f>
        <v>0</v>
      </c>
      <c r="K18">
        <v>6</v>
      </c>
      <c r="L18">
        <v>2</v>
      </c>
      <c r="M18">
        <v>4</v>
      </c>
      <c r="N18" s="20">
        <f t="shared" si="4"/>
        <v>0</v>
      </c>
      <c r="O18" s="20" t="e">
        <f>J18*#REF!*L18</f>
        <v>#REF!</v>
      </c>
      <c r="P18" s="20">
        <f t="shared" si="5"/>
        <v>0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0</v>
      </c>
      <c r="W18">
        <f t="shared" si="8"/>
        <v>0</v>
      </c>
      <c r="X18">
        <f t="shared" si="9"/>
        <v>0</v>
      </c>
      <c r="AC18">
        <f>AC17</f>
        <v>364.5</v>
      </c>
      <c r="AD18" s="22">
        <f t="shared" si="10"/>
        <v>9.649999999999999</v>
      </c>
      <c r="AE18" s="34">
        <v>5.18</v>
      </c>
    </row>
    <row r="19" spans="1:31" ht="18.75">
      <c r="A19" s="42"/>
      <c r="B19" s="42" t="s">
        <v>765</v>
      </c>
      <c r="C19" s="75"/>
      <c r="D19" s="75"/>
      <c r="E19" s="42"/>
      <c r="F19" s="100"/>
      <c r="G19" s="42"/>
      <c r="H19" s="53"/>
      <c r="I19" s="18"/>
      <c r="J19" s="19"/>
      <c r="N19" s="20"/>
      <c r="O19" s="20"/>
      <c r="P19" s="20"/>
      <c r="Q19" s="21"/>
      <c r="R19" s="22"/>
      <c r="S19" s="22"/>
      <c r="AD19" s="22"/>
      <c r="AE19" s="7"/>
    </row>
    <row r="20" spans="1:31" ht="18.75">
      <c r="A20" s="42"/>
      <c r="B20" s="53" t="s">
        <v>766</v>
      </c>
      <c r="C20" s="75"/>
      <c r="D20" s="75"/>
      <c r="E20" s="42"/>
      <c r="F20" s="100">
        <v>2164.07</v>
      </c>
      <c r="G20" s="42"/>
      <c r="H20" s="53"/>
      <c r="I20" s="18"/>
      <c r="J20" s="19"/>
      <c r="N20" s="20"/>
      <c r="O20" s="20"/>
      <c r="P20" s="20"/>
      <c r="Q20" s="21"/>
      <c r="R20" s="22"/>
      <c r="S20" s="22"/>
      <c r="AD20" s="22"/>
      <c r="AE20" s="7"/>
    </row>
    <row r="21" spans="1:31" ht="18.75">
      <c r="A21" s="42"/>
      <c r="B21" s="53" t="s">
        <v>270</v>
      </c>
      <c r="C21" s="75"/>
      <c r="D21" s="75"/>
      <c r="E21" s="42"/>
      <c r="F21" s="100">
        <v>95.52</v>
      </c>
      <c r="G21" s="42"/>
      <c r="H21" s="53"/>
      <c r="I21" s="18"/>
      <c r="J21" s="19"/>
      <c r="N21" s="20"/>
      <c r="O21" s="20"/>
      <c r="P21" s="20"/>
      <c r="Q21" s="21"/>
      <c r="R21" s="22"/>
      <c r="S21" s="22"/>
      <c r="AD21" s="22"/>
      <c r="AE21" s="7"/>
    </row>
    <row r="22" spans="1:31" ht="18.75">
      <c r="A22" s="42"/>
      <c r="B22" s="42" t="s">
        <v>221</v>
      </c>
      <c r="C22" s="75"/>
      <c r="D22" s="75"/>
      <c r="E22" s="42"/>
      <c r="F22" s="100"/>
      <c r="G22" s="42"/>
      <c r="H22" s="53"/>
      <c r="I22" s="18"/>
      <c r="J22" s="19"/>
      <c r="N22" s="20"/>
      <c r="O22" s="20"/>
      <c r="P22" s="20"/>
      <c r="Q22" s="21"/>
      <c r="R22" s="22"/>
      <c r="S22" s="22"/>
      <c r="AD22" s="22"/>
      <c r="AE22" s="7"/>
    </row>
    <row r="23" spans="1:31" ht="37.5">
      <c r="A23" s="42"/>
      <c r="B23" s="53" t="s">
        <v>767</v>
      </c>
      <c r="C23" s="75"/>
      <c r="D23" s="75"/>
      <c r="E23" s="42"/>
      <c r="F23" s="100">
        <v>2346.84</v>
      </c>
      <c r="G23" s="42"/>
      <c r="H23" s="53"/>
      <c r="I23" s="18"/>
      <c r="J23" s="19"/>
      <c r="N23" s="20"/>
      <c r="O23" s="20"/>
      <c r="P23" s="20"/>
      <c r="Q23" s="21"/>
      <c r="R23" s="22"/>
      <c r="S23" s="22"/>
      <c r="AD23" s="22"/>
      <c r="AE23" s="7"/>
    </row>
    <row r="24" spans="1:31" ht="18.75">
      <c r="A24" s="42"/>
      <c r="B24" s="42" t="s">
        <v>371</v>
      </c>
      <c r="C24" s="75"/>
      <c r="D24" s="75"/>
      <c r="E24" s="42"/>
      <c r="F24" s="100"/>
      <c r="G24" s="42"/>
      <c r="H24" s="53"/>
      <c r="I24" s="18"/>
      <c r="J24" s="19"/>
      <c r="N24" s="20"/>
      <c r="O24" s="20"/>
      <c r="P24" s="20"/>
      <c r="Q24" s="21"/>
      <c r="R24" s="22"/>
      <c r="S24" s="22"/>
      <c r="AD24" s="22"/>
      <c r="AE24" s="7"/>
    </row>
    <row r="25" spans="1:31" ht="18.75">
      <c r="A25" s="42"/>
      <c r="B25" s="53" t="s">
        <v>718</v>
      </c>
      <c r="C25" s="75"/>
      <c r="D25" s="75"/>
      <c r="E25" s="42"/>
      <c r="F25" s="100">
        <v>124.58</v>
      </c>
      <c r="G25" s="42"/>
      <c r="H25" s="53"/>
      <c r="I25" s="18"/>
      <c r="J25" s="19"/>
      <c r="N25" s="20"/>
      <c r="O25" s="20"/>
      <c r="P25" s="20"/>
      <c r="Q25" s="21"/>
      <c r="R25" s="22"/>
      <c r="S25" s="22"/>
      <c r="AD25" s="22"/>
      <c r="AE25" s="7"/>
    </row>
    <row r="26" spans="1:31" ht="18.75">
      <c r="A26" s="42"/>
      <c r="B26" s="42" t="s">
        <v>539</v>
      </c>
      <c r="C26" s="75"/>
      <c r="D26" s="75"/>
      <c r="E26" s="42"/>
      <c r="F26" s="100"/>
      <c r="G26" s="42"/>
      <c r="H26" s="53"/>
      <c r="I26" s="18"/>
      <c r="J26" s="19"/>
      <c r="N26" s="20"/>
      <c r="O26" s="20"/>
      <c r="P26" s="20"/>
      <c r="Q26" s="21"/>
      <c r="R26" s="22"/>
      <c r="S26" s="22"/>
      <c r="AD26" s="22"/>
      <c r="AE26" s="7"/>
    </row>
    <row r="27" spans="1:31" ht="18.75">
      <c r="A27" s="42"/>
      <c r="B27" s="53" t="s">
        <v>766</v>
      </c>
      <c r="C27" s="75"/>
      <c r="D27" s="75"/>
      <c r="E27" s="42"/>
      <c r="F27" s="100">
        <v>2164.07</v>
      </c>
      <c r="G27" s="42"/>
      <c r="H27" s="53"/>
      <c r="I27" s="18"/>
      <c r="J27" s="19"/>
      <c r="N27" s="20"/>
      <c r="O27" s="20"/>
      <c r="P27" s="20"/>
      <c r="Q27" s="21"/>
      <c r="R27" s="22"/>
      <c r="S27" s="22"/>
      <c r="AD27" s="22"/>
      <c r="AE27" s="7"/>
    </row>
    <row r="28" spans="1:31" ht="18.75">
      <c r="A28" s="42"/>
      <c r="B28" s="42" t="s">
        <v>124</v>
      </c>
      <c r="C28" s="75"/>
      <c r="D28" s="75"/>
      <c r="E28" s="42"/>
      <c r="F28" s="100"/>
      <c r="G28" s="42"/>
      <c r="H28" s="53"/>
      <c r="I28" s="18"/>
      <c r="J28" s="19"/>
      <c r="N28" s="20"/>
      <c r="O28" s="20"/>
      <c r="P28" s="20"/>
      <c r="Q28" s="21"/>
      <c r="R28" s="22"/>
      <c r="S28" s="22"/>
      <c r="AD28" s="22"/>
      <c r="AE28" s="7"/>
    </row>
    <row r="29" spans="1:31" ht="56.25">
      <c r="A29" s="42"/>
      <c r="B29" s="53" t="s">
        <v>768</v>
      </c>
      <c r="C29" s="75"/>
      <c r="D29" s="75"/>
      <c r="E29" s="42"/>
      <c r="F29" s="100">
        <v>6675.14</v>
      </c>
      <c r="G29" s="42"/>
      <c r="H29" s="53"/>
      <c r="I29" s="18"/>
      <c r="J29" s="19"/>
      <c r="N29" s="20"/>
      <c r="O29" s="20"/>
      <c r="P29" s="20"/>
      <c r="Q29" s="21"/>
      <c r="R29" s="22"/>
      <c r="S29" s="22"/>
      <c r="AD29" s="22"/>
      <c r="AE29" s="7"/>
    </row>
    <row r="30" spans="1:31" ht="18.75">
      <c r="A30" s="42"/>
      <c r="B30" s="42" t="s">
        <v>769</v>
      </c>
      <c r="C30" s="75"/>
      <c r="D30" s="75"/>
      <c r="E30" s="42"/>
      <c r="F30" s="100"/>
      <c r="G30" s="42"/>
      <c r="H30" s="53"/>
      <c r="I30" s="18"/>
      <c r="J30" s="19"/>
      <c r="N30" s="20"/>
      <c r="O30" s="20"/>
      <c r="P30" s="20"/>
      <c r="Q30" s="21"/>
      <c r="R30" s="22"/>
      <c r="S30" s="22"/>
      <c r="AD30" s="22"/>
      <c r="AE30" s="7"/>
    </row>
    <row r="31" spans="1:31" ht="18.75">
      <c r="A31" s="42"/>
      <c r="B31" s="53" t="s">
        <v>721</v>
      </c>
      <c r="C31" s="75"/>
      <c r="D31" s="75"/>
      <c r="E31" s="42"/>
      <c r="F31" s="100">
        <v>498.32</v>
      </c>
      <c r="G31" s="42"/>
      <c r="H31" s="53"/>
      <c r="I31" s="18"/>
      <c r="J31" s="19"/>
      <c r="N31" s="20"/>
      <c r="O31" s="20"/>
      <c r="P31" s="20"/>
      <c r="Q31" s="21"/>
      <c r="R31" s="22"/>
      <c r="S31" s="22"/>
      <c r="AD31" s="22"/>
      <c r="AE31" s="7"/>
    </row>
    <row r="32" spans="1:31" ht="18.75">
      <c r="A32" s="42"/>
      <c r="B32" s="42" t="s">
        <v>707</v>
      </c>
      <c r="C32" s="75"/>
      <c r="D32" s="75"/>
      <c r="E32" s="42"/>
      <c r="F32" s="100"/>
      <c r="G32" s="42"/>
      <c r="H32" s="53"/>
      <c r="I32" s="18"/>
      <c r="J32" s="19"/>
      <c r="N32" s="20"/>
      <c r="O32" s="20"/>
      <c r="P32" s="20"/>
      <c r="Q32" s="21"/>
      <c r="R32" s="22"/>
      <c r="S32" s="22"/>
      <c r="AD32" s="22"/>
      <c r="AE32" s="7"/>
    </row>
    <row r="33" spans="1:31" ht="37.5">
      <c r="A33" s="42"/>
      <c r="B33" s="53" t="s">
        <v>770</v>
      </c>
      <c r="C33" s="75"/>
      <c r="D33" s="75"/>
      <c r="E33" s="42"/>
      <c r="F33" s="100">
        <v>4733.19</v>
      </c>
      <c r="G33" s="42"/>
      <c r="H33" s="53"/>
      <c r="I33" s="18"/>
      <c r="J33" s="19"/>
      <c r="N33" s="20"/>
      <c r="O33" s="20"/>
      <c r="P33" s="20"/>
      <c r="Q33" s="21"/>
      <c r="R33" s="22"/>
      <c r="S33" s="22"/>
      <c r="AD33" s="22"/>
      <c r="AE33" s="7"/>
    </row>
    <row r="34" spans="1:19" ht="18.75">
      <c r="A34" s="42"/>
      <c r="B34" s="42" t="s">
        <v>95</v>
      </c>
      <c r="C34" s="74"/>
      <c r="D34" s="74"/>
      <c r="E34" s="42"/>
      <c r="F34" s="99"/>
      <c r="G34" s="42"/>
      <c r="H34" s="53"/>
      <c r="I34" s="18"/>
      <c r="J34" s="19"/>
      <c r="N34" s="20"/>
      <c r="O34" s="20"/>
      <c r="P34" s="20"/>
      <c r="Q34" s="21"/>
      <c r="R34" s="22"/>
      <c r="S34" s="22"/>
    </row>
    <row r="35" spans="1:19" ht="18.75">
      <c r="A35" s="42"/>
      <c r="B35" s="53" t="s">
        <v>771</v>
      </c>
      <c r="C35" s="74"/>
      <c r="D35" s="74"/>
      <c r="E35" s="42"/>
      <c r="F35" s="99">
        <v>747.48</v>
      </c>
      <c r="G35" s="42"/>
      <c r="H35" s="53"/>
      <c r="I35" s="18"/>
      <c r="J35" s="19"/>
      <c r="N35" s="20"/>
      <c r="O35" s="20"/>
      <c r="P35" s="20"/>
      <c r="Q35" s="21"/>
      <c r="R35" s="22"/>
      <c r="S35" s="22"/>
    </row>
    <row r="36" spans="1:19" ht="18.75">
      <c r="A36" s="42"/>
      <c r="B36" s="53" t="s">
        <v>85</v>
      </c>
      <c r="C36" s="74"/>
      <c r="D36" s="74"/>
      <c r="E36" s="42"/>
      <c r="F36" s="99">
        <v>53.05</v>
      </c>
      <c r="G36" s="42"/>
      <c r="H36" s="53"/>
      <c r="I36" s="18"/>
      <c r="J36" s="19"/>
      <c r="N36" s="20"/>
      <c r="O36" s="20"/>
      <c r="P36" s="20"/>
      <c r="Q36" s="21"/>
      <c r="R36" s="22"/>
      <c r="S36" s="22"/>
    </row>
    <row r="37" spans="1:19" ht="18.75">
      <c r="A37" s="42"/>
      <c r="B37" s="42" t="s">
        <v>96</v>
      </c>
      <c r="C37" s="74"/>
      <c r="D37" s="74"/>
      <c r="E37" s="42"/>
      <c r="F37" s="99"/>
      <c r="G37" s="42"/>
      <c r="H37" s="53"/>
      <c r="I37" s="18"/>
      <c r="J37" s="19"/>
      <c r="N37" s="20"/>
      <c r="O37" s="20"/>
      <c r="P37" s="20"/>
      <c r="Q37" s="21"/>
      <c r="R37" s="22"/>
      <c r="S37" s="22"/>
    </row>
    <row r="38" spans="1:19" ht="37.5">
      <c r="A38" s="42"/>
      <c r="B38" s="53" t="s">
        <v>772</v>
      </c>
      <c r="C38" s="74"/>
      <c r="D38" s="74"/>
      <c r="E38" s="42"/>
      <c r="F38" s="99">
        <v>4797.1</v>
      </c>
      <c r="G38" s="42"/>
      <c r="H38" s="53"/>
      <c r="I38" s="18"/>
      <c r="J38" s="19"/>
      <c r="N38" s="20"/>
      <c r="O38" s="20"/>
      <c r="P38" s="20"/>
      <c r="Q38" s="21"/>
      <c r="R38" s="22"/>
      <c r="S38" s="22"/>
    </row>
    <row r="39" spans="1:19" ht="18.75">
      <c r="A39" s="42"/>
      <c r="B39" s="42" t="s">
        <v>97</v>
      </c>
      <c r="C39" s="74"/>
      <c r="D39" s="74"/>
      <c r="E39" s="42"/>
      <c r="F39" s="99"/>
      <c r="G39" s="42"/>
      <c r="H39" s="53"/>
      <c r="I39" s="18"/>
      <c r="J39" s="19"/>
      <c r="N39" s="20"/>
      <c r="O39" s="20"/>
      <c r="P39" s="20"/>
      <c r="Q39" s="21"/>
      <c r="R39" s="22"/>
      <c r="S39" s="22"/>
    </row>
    <row r="40" spans="1:19" ht="37.5">
      <c r="A40" s="42"/>
      <c r="B40" s="53" t="s">
        <v>773</v>
      </c>
      <c r="C40" s="74"/>
      <c r="D40" s="74"/>
      <c r="E40" s="42"/>
      <c r="F40" s="99">
        <v>2810.91</v>
      </c>
      <c r="G40" s="42"/>
      <c r="H40" s="53"/>
      <c r="I40" s="18"/>
      <c r="J40" s="19"/>
      <c r="N40" s="20"/>
      <c r="O40" s="20"/>
      <c r="P40" s="20"/>
      <c r="Q40" s="21"/>
      <c r="R40" s="22"/>
      <c r="S40" s="22"/>
    </row>
    <row r="41" spans="1:19" ht="75" hidden="1">
      <c r="A41" s="42"/>
      <c r="B41" s="14" t="s">
        <v>943</v>
      </c>
      <c r="C41" s="74"/>
      <c r="D41" s="74"/>
      <c r="E41" s="42"/>
      <c r="F41" s="99"/>
      <c r="G41" s="42"/>
      <c r="H41" s="53"/>
      <c r="I41" s="18"/>
      <c r="J41" s="19"/>
      <c r="N41" s="20"/>
      <c r="O41" s="20"/>
      <c r="P41" s="20"/>
      <c r="Q41" s="21"/>
      <c r="R41" s="22"/>
      <c r="S41" s="22"/>
    </row>
    <row r="42" spans="1:24" ht="18.75">
      <c r="A42" s="53"/>
      <c r="B42" s="53" t="s">
        <v>9</v>
      </c>
      <c r="C42" s="74">
        <f>SUM(C13:C33)</f>
        <v>9.01</v>
      </c>
      <c r="D42" s="74">
        <f>SUM(D13:D33)</f>
        <v>9.6</v>
      </c>
      <c r="E42" s="42">
        <f>SUM(E13:E33)-0.03</f>
        <v>40700.03999999999</v>
      </c>
      <c r="F42" s="99">
        <f>F13+F14+F15+F16+F17+F18</f>
        <v>46805.78999999999</v>
      </c>
      <c r="G42" s="42">
        <f>G13+G14+G15+G16+G17+G18</f>
        <v>41990.399999999994</v>
      </c>
      <c r="H42" s="53">
        <f>1.04993597951*C42</f>
        <v>9.4599231753851</v>
      </c>
      <c r="I42" s="18">
        <f>1.12035851472*C42</f>
        <v>10.094430217627199</v>
      </c>
      <c r="J42" s="19">
        <f>J18</f>
        <v>0</v>
      </c>
      <c r="N42" s="20"/>
      <c r="Q42" s="24"/>
      <c r="R42" s="22">
        <f>SUM(R13:R33)</f>
        <v>8.620000000000001</v>
      </c>
      <c r="S42" s="22">
        <f>SUM(S13:S33)</f>
        <v>9.16</v>
      </c>
      <c r="T42" s="22"/>
      <c r="U42" s="22"/>
      <c r="V42" s="22">
        <f>SUM(V13:V33)</f>
        <v>5205.06</v>
      </c>
      <c r="W42" s="22">
        <f>SUM(W13:W33)</f>
        <v>5423.76</v>
      </c>
      <c r="X42" s="22">
        <f>SUM(X13:X33)</f>
        <v>10628.82</v>
      </c>
    </row>
    <row r="43" spans="1:34" ht="20.25">
      <c r="A43" s="13">
        <v>5</v>
      </c>
      <c r="B43" s="54" t="s">
        <v>26</v>
      </c>
      <c r="C43" s="127">
        <v>1.58</v>
      </c>
      <c r="D43" s="127">
        <v>1.85</v>
      </c>
      <c r="E43" s="128">
        <f>AD43*AE43*6</f>
        <v>7501.410000000001</v>
      </c>
      <c r="F43" s="129">
        <f>E43</f>
        <v>7501.410000000001</v>
      </c>
      <c r="G43" s="129">
        <f>AD43*12*AH43</f>
        <v>8266.859999999999</v>
      </c>
      <c r="H43" s="69" t="e">
        <f>#REF!</f>
        <v>#REF!</v>
      </c>
      <c r="I43" s="22">
        <f>C43+D43</f>
        <v>3.43</v>
      </c>
      <c r="J43" s="34">
        <v>3.43</v>
      </c>
      <c r="K43">
        <v>10</v>
      </c>
      <c r="L43">
        <v>2</v>
      </c>
      <c r="N43" s="20">
        <f>C43*J43*K43</f>
        <v>54.194</v>
      </c>
      <c r="O43" s="20" t="e">
        <f>#REF!*J43*L43</f>
        <v>#REF!</v>
      </c>
      <c r="P43" s="20" t="e">
        <f>SUM(N43:O43)</f>
        <v>#REF!</v>
      </c>
      <c r="Q43" s="21"/>
      <c r="R43" s="22">
        <v>1.47</v>
      </c>
      <c r="S43">
        <v>1.58</v>
      </c>
      <c r="T43">
        <v>6</v>
      </c>
      <c r="U43">
        <v>6</v>
      </c>
      <c r="V43">
        <f>R43*J43*T43</f>
        <v>30.2526</v>
      </c>
      <c r="W43">
        <f>S43*U43*J43</f>
        <v>32.516400000000004</v>
      </c>
      <c r="X43">
        <f>SUM(V43:W43)</f>
        <v>62.769000000000005</v>
      </c>
      <c r="AD43" s="69">
        <f>C7</f>
        <v>364.5</v>
      </c>
      <c r="AE43">
        <v>3.43</v>
      </c>
      <c r="AF43" s="69" t="str">
        <f>C11</f>
        <v>с 1.01-31.06</v>
      </c>
      <c r="AG43">
        <v>3.05</v>
      </c>
      <c r="AH43">
        <v>1.89</v>
      </c>
    </row>
    <row r="44" spans="1:17" ht="18.75">
      <c r="A44" s="55"/>
      <c r="B44" s="56"/>
      <c r="C44" s="55"/>
      <c r="D44" s="55"/>
      <c r="E44" s="55"/>
      <c r="F44" s="55"/>
      <c r="G44" s="55"/>
      <c r="H44" s="55"/>
      <c r="Q44" s="24"/>
    </row>
    <row r="45" spans="1:17" ht="18.75" customHeight="1">
      <c r="A45" s="179" t="s">
        <v>941</v>
      </c>
      <c r="B45" s="179"/>
      <c r="C45" s="193">
        <v>1584.02</v>
      </c>
      <c r="D45" s="193"/>
      <c r="E45" s="55" t="s">
        <v>18</v>
      </c>
      <c r="F45" s="55"/>
      <c r="G45" s="55"/>
      <c r="H45" s="55"/>
      <c r="Q45" s="24"/>
    </row>
    <row r="46" spans="1:17" ht="18.75" customHeight="1">
      <c r="A46" s="179" t="s">
        <v>942</v>
      </c>
      <c r="B46" s="179"/>
      <c r="C46" s="193">
        <v>6017.49</v>
      </c>
      <c r="D46" s="193"/>
      <c r="E46" s="55" t="s">
        <v>18</v>
      </c>
      <c r="F46" s="55"/>
      <c r="G46" s="55"/>
      <c r="H46" s="55"/>
      <c r="Q46" s="24"/>
    </row>
    <row r="47" spans="1:8" ht="18.75">
      <c r="A47" s="207" t="s">
        <v>17</v>
      </c>
      <c r="B47" s="207"/>
      <c r="C47" s="207"/>
      <c r="D47" s="207"/>
      <c r="E47" s="207"/>
      <c r="F47" s="207"/>
      <c r="G47" s="207"/>
      <c r="H47" s="55"/>
    </row>
    <row r="48" spans="1:8" ht="18.75" customHeight="1" hidden="1">
      <c r="A48" s="206" t="s">
        <v>35</v>
      </c>
      <c r="B48" s="206"/>
      <c r="C48" s="52" t="e">
        <f>C45-#REF!</f>
        <v>#REF!</v>
      </c>
      <c r="D48" s="55" t="s">
        <v>18</v>
      </c>
      <c r="E48" s="55"/>
      <c r="F48" s="55"/>
      <c r="G48" s="55"/>
      <c r="H48" s="55"/>
    </row>
    <row r="49" spans="1:8" ht="18.75" customHeight="1" hidden="1">
      <c r="A49" s="206" t="s">
        <v>36</v>
      </c>
      <c r="B49" s="206"/>
      <c r="C49" s="96">
        <f>E42-F42</f>
        <v>-6105.75</v>
      </c>
      <c r="D49" s="96" t="str">
        <f>D48</f>
        <v>рублей</v>
      </c>
      <c r="E49" s="59"/>
      <c r="F49" s="59"/>
      <c r="G49" s="59"/>
      <c r="H49" s="55"/>
    </row>
    <row r="50" spans="1:8" ht="18.75">
      <c r="A50" s="59"/>
      <c r="B50" s="59"/>
      <c r="C50" s="59"/>
      <c r="D50" s="59"/>
      <c r="E50" s="59"/>
      <c r="F50" s="59"/>
      <c r="G50" s="59"/>
      <c r="H50" s="59"/>
    </row>
    <row r="51" spans="1:8" ht="12.75">
      <c r="A51" s="30"/>
      <c r="B51" s="30"/>
      <c r="C51" s="30"/>
      <c r="D51" s="30"/>
      <c r="E51" s="30"/>
      <c r="F51" s="30"/>
      <c r="G51" s="30"/>
      <c r="H51" s="30"/>
    </row>
    <row r="52" spans="1:8" ht="12.75">
      <c r="A52" s="30"/>
      <c r="B52" s="30"/>
      <c r="C52" s="30"/>
      <c r="D52" s="30"/>
      <c r="E52" s="30"/>
      <c r="F52" s="30"/>
      <c r="G52" s="30"/>
      <c r="H52" s="30"/>
    </row>
    <row r="53" spans="1:8" ht="12.75">
      <c r="A53" s="30"/>
      <c r="B53" s="30"/>
      <c r="C53" s="30"/>
      <c r="D53" s="30"/>
      <c r="E53" s="30"/>
      <c r="F53" s="30"/>
      <c r="G53" s="30"/>
      <c r="H53" s="30"/>
    </row>
    <row r="54" spans="1:8" ht="12.75">
      <c r="A54" s="30"/>
      <c r="B54" s="30"/>
      <c r="C54" s="30"/>
      <c r="D54" s="30"/>
      <c r="E54" s="30"/>
      <c r="F54" s="30"/>
      <c r="G54" s="30"/>
      <c r="H54" s="30"/>
    </row>
    <row r="55" spans="1:8" ht="12.75">
      <c r="A55" s="30"/>
      <c r="B55" s="30"/>
      <c r="C55" s="30"/>
      <c r="D55" s="30"/>
      <c r="E55" s="30"/>
      <c r="F55" s="30"/>
      <c r="G55" s="30"/>
      <c r="H55" s="30"/>
    </row>
    <row r="56" spans="1:8" ht="12.75">
      <c r="A56" s="30"/>
      <c r="B56" s="30"/>
      <c r="C56" s="30"/>
      <c r="D56" s="30"/>
      <c r="E56" s="30"/>
      <c r="F56" s="30"/>
      <c r="G56" s="30"/>
      <c r="H56" s="30"/>
    </row>
    <row r="57" spans="1:8" ht="12.75">
      <c r="A57" s="30"/>
      <c r="B57" s="30"/>
      <c r="C57" s="30"/>
      <c r="D57" s="30"/>
      <c r="E57" s="30"/>
      <c r="F57" s="30"/>
      <c r="G57" s="30"/>
      <c r="H57" s="30"/>
    </row>
    <row r="58" spans="1:8" ht="12.75">
      <c r="A58" s="30"/>
      <c r="B58" s="30"/>
      <c r="C58" s="30"/>
      <c r="D58" s="30"/>
      <c r="E58" s="30"/>
      <c r="F58" s="30"/>
      <c r="G58" s="30"/>
      <c r="H58" s="30"/>
    </row>
    <row r="59" spans="1:8" ht="12.75">
      <c r="A59" s="30"/>
      <c r="B59" s="30"/>
      <c r="C59" s="30"/>
      <c r="D59" s="30"/>
      <c r="E59" s="30"/>
      <c r="F59" s="30"/>
      <c r="G59" s="30"/>
      <c r="H59" s="30"/>
    </row>
    <row r="60" spans="1:8" ht="12.75">
      <c r="A60" s="30"/>
      <c r="B60" s="30"/>
      <c r="C60" s="30"/>
      <c r="D60" s="30"/>
      <c r="E60" s="30"/>
      <c r="F60" s="30"/>
      <c r="G60" s="30"/>
      <c r="H60" s="30"/>
    </row>
    <row r="61" spans="1:8" ht="12.75">
      <c r="A61" s="30"/>
      <c r="B61" s="30"/>
      <c r="C61" s="30"/>
      <c r="D61" s="30"/>
      <c r="E61" s="30"/>
      <c r="F61" s="30"/>
      <c r="G61" s="30"/>
      <c r="H61" s="30"/>
    </row>
    <row r="62" spans="1:8" ht="12.75">
      <c r="A62" s="30"/>
      <c r="B62" s="30"/>
      <c r="C62" s="30"/>
      <c r="D62" s="30"/>
      <c r="E62" s="30"/>
      <c r="F62" s="30"/>
      <c r="G62" s="30"/>
      <c r="H62" s="30"/>
    </row>
    <row r="63" spans="1:8" ht="12.75">
      <c r="A63" s="30"/>
      <c r="B63" s="30"/>
      <c r="C63" s="30"/>
      <c r="D63" s="30"/>
      <c r="E63" s="30"/>
      <c r="F63" s="30"/>
      <c r="G63" s="30"/>
      <c r="H63" s="30"/>
    </row>
    <row r="64" spans="1:8" ht="12.75">
      <c r="A64" s="30"/>
      <c r="B64" s="30"/>
      <c r="C64" s="30"/>
      <c r="D64" s="30"/>
      <c r="E64" s="30"/>
      <c r="F64" s="30"/>
      <c r="G64" s="30"/>
      <c r="H64" s="30"/>
    </row>
    <row r="65" spans="1:8" ht="12.75">
      <c r="A65" s="30"/>
      <c r="B65" s="30"/>
      <c r="C65" s="30"/>
      <c r="D65" s="30"/>
      <c r="E65" s="30"/>
      <c r="F65" s="30"/>
      <c r="G65" s="30"/>
      <c r="H65" s="30"/>
    </row>
    <row r="66" spans="1:8" ht="12.75">
      <c r="A66" s="30"/>
      <c r="B66" s="30"/>
      <c r="C66" s="30"/>
      <c r="D66" s="30"/>
      <c r="E66" s="30"/>
      <c r="F66" s="30"/>
      <c r="G66" s="30"/>
      <c r="H66" s="30"/>
    </row>
    <row r="67" spans="1:8" ht="12.75">
      <c r="A67" s="30"/>
      <c r="B67" s="30"/>
      <c r="C67" s="30"/>
      <c r="D67" s="30"/>
      <c r="E67" s="30"/>
      <c r="F67" s="30"/>
      <c r="G67" s="30"/>
      <c r="H67" s="30"/>
    </row>
    <row r="68" spans="1:8" ht="12.75">
      <c r="A68" s="30"/>
      <c r="B68" s="30"/>
      <c r="C68" s="30"/>
      <c r="D68" s="30"/>
      <c r="E68" s="30"/>
      <c r="F68" s="30"/>
      <c r="G68" s="30"/>
      <c r="H68" s="30"/>
    </row>
    <row r="69" spans="1:8" ht="12.75">
      <c r="A69" s="30"/>
      <c r="B69" s="30"/>
      <c r="C69" s="30"/>
      <c r="D69" s="30"/>
      <c r="E69" s="30"/>
      <c r="F69" s="30"/>
      <c r="G69" s="30"/>
      <c r="H69" s="30"/>
    </row>
    <row r="70" spans="1:8" ht="12.75">
      <c r="A70" s="30"/>
      <c r="B70" s="30"/>
      <c r="C70" s="30"/>
      <c r="D70" s="30"/>
      <c r="E70" s="30"/>
      <c r="F70" s="30"/>
      <c r="G70" s="30"/>
      <c r="H70" s="30"/>
    </row>
    <row r="71" spans="1:8" ht="12.75">
      <c r="A71" s="30"/>
      <c r="B71" s="30"/>
      <c r="C71" s="30"/>
      <c r="D71" s="30"/>
      <c r="E71" s="30"/>
      <c r="F71" s="30"/>
      <c r="G71" s="30"/>
      <c r="H71" s="30"/>
    </row>
  </sheetData>
  <sheetProtection/>
  <mergeCells count="18">
    <mergeCell ref="C46:D46"/>
    <mergeCell ref="A1:G2"/>
    <mergeCell ref="A3:G3"/>
    <mergeCell ref="A4:H5"/>
    <mergeCell ref="F9:F11"/>
    <mergeCell ref="G9:G11"/>
    <mergeCell ref="A45:B45"/>
    <mergeCell ref="A46:B46"/>
    <mergeCell ref="A47:G47"/>
    <mergeCell ref="A48:B48"/>
    <mergeCell ref="A49:B49"/>
    <mergeCell ref="J9:Q12"/>
    <mergeCell ref="R9:X12"/>
    <mergeCell ref="A9:A11"/>
    <mergeCell ref="B9:B11"/>
    <mergeCell ref="C9:D10"/>
    <mergeCell ref="E9:E11"/>
    <mergeCell ref="C45:D4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AN265"/>
  <sheetViews>
    <sheetView view="pageBreakPreview" zoomScale="75" zoomScaleSheetLayoutView="75" zoomScalePageLayoutView="0" workbookViewId="0" topLeftCell="A25">
      <selection activeCell="A43" sqref="A43:IV43"/>
    </sheetView>
  </sheetViews>
  <sheetFormatPr defaultColWidth="9.00390625" defaultRowHeight="12.75"/>
  <cols>
    <col min="1" max="1" width="9.25390625" style="0" bestFit="1" customWidth="1"/>
    <col min="2" max="2" width="48.625" style="0" customWidth="1"/>
    <col min="3" max="3" width="12.625" style="0" customWidth="1"/>
    <col min="4" max="4" width="13.375" style="0" customWidth="1"/>
    <col min="5" max="5" width="12.75390625" style="0" customWidth="1"/>
    <col min="6" max="7" width="13.375" style="0" bestFit="1" customWidth="1"/>
    <col min="8" max="8" width="9.375" style="0" hidden="1" customWidth="1"/>
    <col min="9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6" width="9.25390625" style="0" hidden="1" customWidth="1"/>
    <col min="27" max="29" width="0" style="0" hidden="1" customWidth="1"/>
  </cols>
  <sheetData>
    <row r="1" spans="1:8" ht="18.75">
      <c r="A1" s="193" t="s">
        <v>25</v>
      </c>
      <c r="B1" s="193"/>
      <c r="C1" s="193"/>
      <c r="D1" s="193"/>
      <c r="E1" s="193"/>
      <c r="F1" s="193"/>
      <c r="G1" s="193"/>
      <c r="H1" s="55"/>
    </row>
    <row r="2" spans="1:8" ht="18.75">
      <c r="A2" s="193"/>
      <c r="B2" s="193"/>
      <c r="C2" s="193"/>
      <c r="D2" s="193"/>
      <c r="E2" s="193"/>
      <c r="F2" s="193"/>
      <c r="G2" s="193"/>
      <c r="H2" s="55"/>
    </row>
    <row r="3" spans="1:8" ht="44.25" customHeight="1">
      <c r="A3" s="193" t="s">
        <v>69</v>
      </c>
      <c r="B3" s="193"/>
      <c r="C3" s="193"/>
      <c r="D3" s="193"/>
      <c r="E3" s="193"/>
      <c r="F3" s="193"/>
      <c r="G3" s="193"/>
      <c r="H3" s="52"/>
    </row>
    <row r="4" spans="1:8" ht="12.75">
      <c r="A4" s="193" t="s">
        <v>110</v>
      </c>
      <c r="B4" s="193"/>
      <c r="C4" s="193"/>
      <c r="D4" s="193"/>
      <c r="E4" s="193"/>
      <c r="F4" s="193"/>
      <c r="G4" s="193"/>
      <c r="H4" s="193"/>
    </row>
    <row r="5" spans="1:8" ht="12.75">
      <c r="A5" s="193"/>
      <c r="B5" s="193"/>
      <c r="C5" s="193"/>
      <c r="D5" s="193"/>
      <c r="E5" s="193"/>
      <c r="F5" s="193"/>
      <c r="G5" s="193"/>
      <c r="H5" s="193"/>
    </row>
    <row r="6" spans="1:8" ht="18.75">
      <c r="A6" s="52"/>
      <c r="B6" s="52"/>
      <c r="C6" s="52"/>
      <c r="D6" s="52"/>
      <c r="E6" s="52"/>
      <c r="F6" s="52"/>
      <c r="G6" s="52"/>
      <c r="H6" s="52"/>
    </row>
    <row r="7" spans="1:8" ht="22.5">
      <c r="A7" s="59"/>
      <c r="B7" s="57" t="s">
        <v>5</v>
      </c>
      <c r="C7" s="52">
        <v>365.541178577</v>
      </c>
      <c r="D7" s="52" t="s">
        <v>31</v>
      </c>
      <c r="E7" s="55"/>
      <c r="F7" s="55"/>
      <c r="G7" s="55"/>
      <c r="H7" s="55"/>
    </row>
    <row r="8" spans="1:8" ht="18.75">
      <c r="A8" s="59"/>
      <c r="B8" s="52"/>
      <c r="C8" s="52"/>
      <c r="D8" s="52"/>
      <c r="E8" s="52"/>
      <c r="F8" s="52"/>
      <c r="G8" s="52"/>
      <c r="H8" s="52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44" t="s">
        <v>99</v>
      </c>
      <c r="F9" s="247" t="s">
        <v>74</v>
      </c>
      <c r="G9" s="244" t="s">
        <v>218</v>
      </c>
      <c r="H9" s="53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60.75" customHeight="1">
      <c r="A10" s="212"/>
      <c r="B10" s="212"/>
      <c r="C10" s="216"/>
      <c r="D10" s="217"/>
      <c r="E10" s="245"/>
      <c r="F10" s="248"/>
      <c r="G10" s="245"/>
      <c r="H10" s="53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121.5" customHeight="1">
      <c r="A11" s="213"/>
      <c r="B11" s="213"/>
      <c r="C11" s="124" t="s">
        <v>107</v>
      </c>
      <c r="D11" s="124" t="s">
        <v>106</v>
      </c>
      <c r="E11" s="246"/>
      <c r="F11" s="249"/>
      <c r="G11" s="246"/>
      <c r="H11" s="53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42" t="s">
        <v>12</v>
      </c>
      <c r="B12" s="53" t="s">
        <v>20</v>
      </c>
      <c r="C12" s="74"/>
      <c r="D12" s="74"/>
      <c r="E12" s="42"/>
      <c r="F12" s="42"/>
      <c r="G12" s="42"/>
      <c r="H12" s="53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2" ht="18.75">
      <c r="A13" s="42" t="s">
        <v>13</v>
      </c>
      <c r="B13" s="53" t="s">
        <v>10</v>
      </c>
      <c r="C13" s="34">
        <v>1.09</v>
      </c>
      <c r="D13" s="34">
        <v>1.14</v>
      </c>
      <c r="E13" s="42">
        <f aca="true" t="shared" si="0" ref="E13:E18">AD13*AE13*6</f>
        <v>4890.94096936026</v>
      </c>
      <c r="F13" s="42">
        <f>E13</f>
        <v>4890.94096936026</v>
      </c>
      <c r="G13" s="42">
        <f aca="true" t="shared" si="1" ref="G13:G18">AD13*AF13*12</f>
        <v>5000.603322933359</v>
      </c>
      <c r="H13" s="53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365.541178577</v>
      </c>
      <c r="K13">
        <v>6</v>
      </c>
      <c r="L13">
        <v>2</v>
      </c>
      <c r="M13">
        <v>4</v>
      </c>
      <c r="N13" s="20">
        <f aca="true" t="shared" si="4" ref="N13:N18">C13*J13*K13</f>
        <v>2390.63930789358</v>
      </c>
      <c r="O13" s="20" t="e">
        <f>J13*#REF!*L13</f>
        <v>#REF!</v>
      </c>
      <c r="P13" s="20">
        <f aca="true" t="shared" si="5" ref="P13:P18">D13*J13*M13</f>
        <v>1666.8677743111198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2302.9094250351</v>
      </c>
      <c r="W13">
        <f aca="true" t="shared" si="8" ref="W13:W18">U13*S13*J13</f>
        <v>2390.6393078935803</v>
      </c>
      <c r="X13">
        <f aca="true" t="shared" si="9" ref="X13:X18">SUM(V13:W13)</f>
        <v>4693.548732928681</v>
      </c>
      <c r="AD13" s="69">
        <f>C7</f>
        <v>365.541178577</v>
      </c>
      <c r="AE13" s="22">
        <f aca="true" t="shared" si="10" ref="AE13:AE18">C13+D13</f>
        <v>2.23</v>
      </c>
      <c r="AF13" s="34">
        <v>1.14</v>
      </c>
    </row>
    <row r="14" spans="1:32" ht="37.5">
      <c r="A14" s="42" t="s">
        <v>14</v>
      </c>
      <c r="B14" s="53" t="s">
        <v>15</v>
      </c>
      <c r="C14" s="34">
        <v>1.39</v>
      </c>
      <c r="D14" s="34">
        <v>1.46</v>
      </c>
      <c r="E14" s="42">
        <f t="shared" si="0"/>
        <v>6250.7541536666995</v>
      </c>
      <c r="F14" s="42">
        <f>E14</f>
        <v>6250.7541536666995</v>
      </c>
      <c r="G14" s="42">
        <f t="shared" si="1"/>
        <v>6404.281448669039</v>
      </c>
      <c r="H14" s="53">
        <f t="shared" si="2"/>
        <v>1.4594110115189</v>
      </c>
      <c r="I14" s="18">
        <f t="shared" si="3"/>
        <v>1.5572983354607999</v>
      </c>
      <c r="J14" s="19">
        <f>J13</f>
        <v>365.541178577</v>
      </c>
      <c r="K14">
        <v>6</v>
      </c>
      <c r="L14">
        <v>2</v>
      </c>
      <c r="M14">
        <v>4</v>
      </c>
      <c r="N14" s="20">
        <f t="shared" si="4"/>
        <v>3048.6134293321797</v>
      </c>
      <c r="O14" s="20" t="e">
        <f>J14*#REF!*L14</f>
        <v>#REF!</v>
      </c>
      <c r="P14" s="20">
        <f t="shared" si="5"/>
        <v>2134.7604828896797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2917.01860504446</v>
      </c>
      <c r="W14">
        <f t="shared" si="8"/>
        <v>3048.6134293321797</v>
      </c>
      <c r="X14">
        <f t="shared" si="9"/>
        <v>5965.63203437664</v>
      </c>
      <c r="AD14">
        <f>AD13</f>
        <v>365.541178577</v>
      </c>
      <c r="AE14" s="22">
        <f t="shared" si="10"/>
        <v>2.8499999999999996</v>
      </c>
      <c r="AF14" s="34">
        <v>1.46</v>
      </c>
    </row>
    <row r="15" spans="1:32" ht="18.75">
      <c r="A15" s="42" t="s">
        <v>16</v>
      </c>
      <c r="B15" s="53" t="s">
        <v>7</v>
      </c>
      <c r="C15" s="34"/>
      <c r="D15" s="34"/>
      <c r="E15" s="42"/>
      <c r="F15" s="42"/>
      <c r="G15" s="42"/>
      <c r="H15" s="53"/>
      <c r="I15" s="18"/>
      <c r="J15" s="19"/>
      <c r="N15" s="20"/>
      <c r="O15" s="20"/>
      <c r="P15" s="20"/>
      <c r="Q15" s="21"/>
      <c r="R15" s="22"/>
      <c r="S15" s="22"/>
      <c r="AE15" s="22"/>
      <c r="AF15" s="34"/>
    </row>
    <row r="16" spans="1:32" ht="18.75">
      <c r="A16" s="42" t="s">
        <v>21</v>
      </c>
      <c r="B16" s="53" t="s">
        <v>11</v>
      </c>
      <c r="C16" s="34">
        <v>0.82</v>
      </c>
      <c r="D16" s="34">
        <v>0.58</v>
      </c>
      <c r="E16" s="42">
        <f t="shared" si="0"/>
        <v>3070.5459000468</v>
      </c>
      <c r="F16" s="42">
        <f>E16</f>
        <v>3070.5459000468</v>
      </c>
      <c r="G16" s="42">
        <f t="shared" si="1"/>
        <v>2544.16660289592</v>
      </c>
      <c r="H16" s="53">
        <f t="shared" si="2"/>
        <v>0.8609475031982</v>
      </c>
      <c r="I16" s="18">
        <f t="shared" si="3"/>
        <v>0.9186939820703999</v>
      </c>
      <c r="J16" s="19">
        <f>J15</f>
        <v>0</v>
      </c>
      <c r="K16">
        <v>6</v>
      </c>
      <c r="L16">
        <v>2</v>
      </c>
      <c r="M16">
        <v>4</v>
      </c>
      <c r="N16" s="20">
        <f t="shared" si="4"/>
        <v>0</v>
      </c>
      <c r="O16" s="20" t="e">
        <f>J16*#REF!*L16</f>
        <v>#REF!</v>
      </c>
      <c r="P16" s="20">
        <f t="shared" si="5"/>
        <v>0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0</v>
      </c>
      <c r="W16">
        <f t="shared" si="8"/>
        <v>0</v>
      </c>
      <c r="X16">
        <f t="shared" si="9"/>
        <v>0</v>
      </c>
      <c r="AD16">
        <f>AD14</f>
        <v>365.541178577</v>
      </c>
      <c r="AE16" s="22">
        <f t="shared" si="10"/>
        <v>1.4</v>
      </c>
      <c r="AF16" s="34">
        <v>0.58</v>
      </c>
    </row>
    <row r="17" spans="1:32" ht="18.75">
      <c r="A17" s="42" t="s">
        <v>22</v>
      </c>
      <c r="B17" s="53" t="s">
        <v>19</v>
      </c>
      <c r="C17" s="34">
        <v>1.24</v>
      </c>
      <c r="D17" s="34">
        <v>1.24</v>
      </c>
      <c r="E17" s="42">
        <f t="shared" si="0"/>
        <v>5439.252737225759</v>
      </c>
      <c r="F17" s="42">
        <f>E17</f>
        <v>5439.252737225759</v>
      </c>
      <c r="G17" s="42">
        <f t="shared" si="1"/>
        <v>5439.252737225759</v>
      </c>
      <c r="H17" s="53">
        <f t="shared" si="2"/>
        <v>1.3019206145924</v>
      </c>
      <c r="I17" s="18">
        <f t="shared" si="3"/>
        <v>1.3892445582528</v>
      </c>
      <c r="J17" s="19">
        <f>J16</f>
        <v>0</v>
      </c>
      <c r="K17">
        <v>6</v>
      </c>
      <c r="L17">
        <v>2</v>
      </c>
      <c r="M17">
        <v>4</v>
      </c>
      <c r="N17" s="20">
        <f t="shared" si="4"/>
        <v>0</v>
      </c>
      <c r="O17" s="20" t="e">
        <f>J17*#REF!*L17</f>
        <v>#REF!</v>
      </c>
      <c r="P17" s="20">
        <f t="shared" si="5"/>
        <v>0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0</v>
      </c>
      <c r="W17">
        <f t="shared" si="8"/>
        <v>0</v>
      </c>
      <c r="X17">
        <f t="shared" si="9"/>
        <v>0</v>
      </c>
      <c r="AD17">
        <f>AD16</f>
        <v>365.541178577</v>
      </c>
      <c r="AE17" s="22">
        <f t="shared" si="10"/>
        <v>2.48</v>
      </c>
      <c r="AF17" s="34">
        <v>1.24</v>
      </c>
    </row>
    <row r="18" spans="1:32" ht="75">
      <c r="A18" s="42" t="s">
        <v>23</v>
      </c>
      <c r="B18" s="53" t="s">
        <v>24</v>
      </c>
      <c r="C18" s="34">
        <v>4.47</v>
      </c>
      <c r="D18" s="34">
        <v>5.18</v>
      </c>
      <c r="E18" s="42">
        <f t="shared" si="0"/>
        <v>21164.834239608295</v>
      </c>
      <c r="F18" s="99">
        <f>F29+F36+F37+F39+F40+F42</f>
        <v>5318.950000000001</v>
      </c>
      <c r="G18" s="42">
        <f t="shared" si="1"/>
        <v>22722.039660346316</v>
      </c>
      <c r="H18" s="53">
        <f t="shared" si="2"/>
        <v>4.6932138284097</v>
      </c>
      <c r="I18" s="18">
        <f t="shared" si="3"/>
        <v>5.008002560798399</v>
      </c>
      <c r="J18" s="19">
        <f>J17</f>
        <v>0</v>
      </c>
      <c r="K18">
        <v>6</v>
      </c>
      <c r="L18">
        <v>2</v>
      </c>
      <c r="M18">
        <v>4</v>
      </c>
      <c r="N18" s="20">
        <f t="shared" si="4"/>
        <v>0</v>
      </c>
      <c r="O18" s="20" t="e">
        <f>J18*#REF!*L18</f>
        <v>#REF!</v>
      </c>
      <c r="P18" s="20">
        <f t="shared" si="5"/>
        <v>0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0</v>
      </c>
      <c r="W18">
        <f t="shared" si="8"/>
        <v>0</v>
      </c>
      <c r="X18">
        <f t="shared" si="9"/>
        <v>0</v>
      </c>
      <c r="AD18">
        <f>AD17</f>
        <v>365.541178577</v>
      </c>
      <c r="AE18" s="22">
        <f t="shared" si="10"/>
        <v>9.649999999999999</v>
      </c>
      <c r="AF18" s="34">
        <v>5.18</v>
      </c>
    </row>
    <row r="19" spans="1:32" ht="18.75">
      <c r="A19" s="42"/>
      <c r="B19" s="42" t="s">
        <v>774</v>
      </c>
      <c r="C19" s="75"/>
      <c r="D19" s="75"/>
      <c r="E19" s="42"/>
      <c r="F19" s="99"/>
      <c r="G19" s="42"/>
      <c r="H19" s="53"/>
      <c r="I19" s="18"/>
      <c r="J19" s="19"/>
      <c r="N19" s="20"/>
      <c r="O19" s="20"/>
      <c r="P19" s="20"/>
      <c r="Q19" s="21"/>
      <c r="R19" s="22"/>
      <c r="S19" s="22"/>
      <c r="AE19" s="22"/>
      <c r="AF19" s="7"/>
    </row>
    <row r="20" spans="1:32" ht="18.75">
      <c r="A20" s="42"/>
      <c r="B20" s="42" t="s">
        <v>270</v>
      </c>
      <c r="C20" s="75"/>
      <c r="D20" s="75"/>
      <c r="E20" s="42"/>
      <c r="F20" s="99">
        <v>95.52</v>
      </c>
      <c r="G20" s="42"/>
      <c r="H20" s="53"/>
      <c r="I20" s="18"/>
      <c r="J20" s="19"/>
      <c r="N20" s="20"/>
      <c r="O20" s="20"/>
      <c r="P20" s="20"/>
      <c r="Q20" s="21"/>
      <c r="R20" s="22"/>
      <c r="S20" s="22"/>
      <c r="AE20" s="22"/>
      <c r="AF20" s="7"/>
    </row>
    <row r="21" spans="1:32" ht="18.75">
      <c r="A21" s="42"/>
      <c r="B21" s="53" t="s">
        <v>775</v>
      </c>
      <c r="C21" s="75"/>
      <c r="D21" s="75"/>
      <c r="E21" s="42"/>
      <c r="F21" s="99">
        <v>2337.18</v>
      </c>
      <c r="G21" s="42"/>
      <c r="H21" s="53"/>
      <c r="I21" s="18"/>
      <c r="J21" s="19"/>
      <c r="N21" s="20"/>
      <c r="O21" s="20"/>
      <c r="P21" s="20"/>
      <c r="Q21" s="21"/>
      <c r="R21" s="22"/>
      <c r="S21" s="22"/>
      <c r="AE21" s="22"/>
      <c r="AF21" s="7"/>
    </row>
    <row r="22" spans="1:32" ht="18.75">
      <c r="A22" s="42"/>
      <c r="B22" s="42" t="s">
        <v>221</v>
      </c>
      <c r="C22" s="75"/>
      <c r="D22" s="75"/>
      <c r="E22" s="42"/>
      <c r="F22" s="99"/>
      <c r="G22" s="42"/>
      <c r="H22" s="53"/>
      <c r="I22" s="18"/>
      <c r="J22" s="19"/>
      <c r="N22" s="20"/>
      <c r="O22" s="20"/>
      <c r="P22" s="20"/>
      <c r="Q22" s="21"/>
      <c r="R22" s="22"/>
      <c r="S22" s="22"/>
      <c r="AE22" s="22"/>
      <c r="AF22" s="7"/>
    </row>
    <row r="23" spans="1:32" ht="18.75">
      <c r="A23" s="42"/>
      <c r="B23" s="53" t="s">
        <v>722</v>
      </c>
      <c r="C23" s="75"/>
      <c r="D23" s="75"/>
      <c r="E23" s="42"/>
      <c r="F23" s="99">
        <v>1245.8</v>
      </c>
      <c r="G23" s="42"/>
      <c r="H23" s="53"/>
      <c r="I23" s="18"/>
      <c r="J23" s="19"/>
      <c r="N23" s="20"/>
      <c r="O23" s="20"/>
      <c r="P23" s="20"/>
      <c r="Q23" s="21"/>
      <c r="R23" s="22"/>
      <c r="S23" s="22"/>
      <c r="AE23" s="22"/>
      <c r="AF23" s="7"/>
    </row>
    <row r="24" spans="1:32" ht="18.75">
      <c r="A24" s="42"/>
      <c r="B24" s="42" t="s">
        <v>371</v>
      </c>
      <c r="C24" s="75"/>
      <c r="D24" s="75"/>
      <c r="E24" s="42"/>
      <c r="F24" s="99"/>
      <c r="G24" s="42"/>
      <c r="H24" s="53"/>
      <c r="I24" s="18"/>
      <c r="J24" s="19"/>
      <c r="N24" s="20"/>
      <c r="O24" s="20"/>
      <c r="P24" s="20"/>
      <c r="Q24" s="21"/>
      <c r="R24" s="22"/>
      <c r="S24" s="22"/>
      <c r="AE24" s="22"/>
      <c r="AF24" s="7"/>
    </row>
    <row r="25" spans="1:32" ht="37.5">
      <c r="A25" s="42"/>
      <c r="B25" s="53" t="s">
        <v>776</v>
      </c>
      <c r="C25" s="75"/>
      <c r="D25" s="75"/>
      <c r="E25" s="42"/>
      <c r="F25" s="99">
        <v>2721.46</v>
      </c>
      <c r="G25" s="42"/>
      <c r="H25" s="53"/>
      <c r="I25" s="18"/>
      <c r="J25" s="19"/>
      <c r="N25" s="20"/>
      <c r="O25" s="20"/>
      <c r="P25" s="20"/>
      <c r="Q25" s="21"/>
      <c r="R25" s="22"/>
      <c r="S25" s="22"/>
      <c r="AE25" s="22"/>
      <c r="AF25" s="7"/>
    </row>
    <row r="26" spans="1:32" ht="18.75">
      <c r="A26" s="42"/>
      <c r="B26" s="42" t="s">
        <v>539</v>
      </c>
      <c r="C26" s="75"/>
      <c r="D26" s="75"/>
      <c r="E26" s="42"/>
      <c r="F26" s="99"/>
      <c r="G26" s="42"/>
      <c r="H26" s="53"/>
      <c r="I26" s="18"/>
      <c r="J26" s="19"/>
      <c r="N26" s="20"/>
      <c r="O26" s="20"/>
      <c r="P26" s="20"/>
      <c r="Q26" s="21"/>
      <c r="R26" s="22"/>
      <c r="S26" s="22"/>
      <c r="AE26" s="22"/>
      <c r="AF26" s="7"/>
    </row>
    <row r="27" spans="1:32" ht="18.75">
      <c r="A27" s="42"/>
      <c r="B27" s="53" t="s">
        <v>777</v>
      </c>
      <c r="C27" s="75"/>
      <c r="D27" s="75"/>
      <c r="E27" s="42"/>
      <c r="F27" s="99">
        <v>4154.99</v>
      </c>
      <c r="G27" s="42"/>
      <c r="H27" s="53"/>
      <c r="I27" s="18"/>
      <c r="J27" s="19"/>
      <c r="N27" s="20"/>
      <c r="O27" s="20"/>
      <c r="P27" s="20"/>
      <c r="Q27" s="21"/>
      <c r="R27" s="22"/>
      <c r="S27" s="22"/>
      <c r="AE27" s="22"/>
      <c r="AF27" s="7"/>
    </row>
    <row r="28" spans="1:19" ht="18.75">
      <c r="A28" s="42"/>
      <c r="B28" s="42" t="s">
        <v>93</v>
      </c>
      <c r="C28" s="74"/>
      <c r="D28" s="74"/>
      <c r="E28" s="42"/>
      <c r="F28" s="99"/>
      <c r="G28" s="42"/>
      <c r="H28" s="53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42"/>
      <c r="B29" s="53" t="s">
        <v>721</v>
      </c>
      <c r="C29" s="74"/>
      <c r="D29" s="74"/>
      <c r="E29" s="42"/>
      <c r="F29" s="99">
        <v>498.32</v>
      </c>
      <c r="G29" s="42"/>
      <c r="H29" s="53"/>
      <c r="I29" s="18"/>
      <c r="J29" s="19"/>
      <c r="N29" s="20"/>
      <c r="O29" s="20"/>
      <c r="P29" s="20"/>
      <c r="Q29" s="21"/>
      <c r="R29" s="22"/>
      <c r="S29" s="22"/>
    </row>
    <row r="30" spans="1:19" ht="18.75">
      <c r="A30" s="42"/>
      <c r="B30" s="42" t="s">
        <v>707</v>
      </c>
      <c r="C30" s="74"/>
      <c r="D30" s="74"/>
      <c r="E30" s="42"/>
      <c r="F30" s="99"/>
      <c r="G30" s="42"/>
      <c r="H30" s="53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42"/>
      <c r="B31" s="53" t="s">
        <v>778</v>
      </c>
      <c r="C31" s="74"/>
      <c r="D31" s="74"/>
      <c r="E31" s="42"/>
      <c r="F31" s="99">
        <v>1467.56</v>
      </c>
      <c r="G31" s="42"/>
      <c r="H31" s="53"/>
      <c r="I31" s="18"/>
      <c r="J31" s="19"/>
      <c r="N31" s="20"/>
      <c r="O31" s="20"/>
      <c r="P31" s="20"/>
      <c r="Q31" s="21"/>
      <c r="R31" s="22"/>
      <c r="S31" s="22"/>
    </row>
    <row r="32" spans="1:19" ht="18.75">
      <c r="A32" s="42"/>
      <c r="B32" s="42" t="s">
        <v>779</v>
      </c>
      <c r="C32" s="74"/>
      <c r="D32" s="74"/>
      <c r="E32" s="42"/>
      <c r="F32" s="99"/>
      <c r="G32" s="42"/>
      <c r="H32" s="53"/>
      <c r="I32" s="18"/>
      <c r="J32" s="19"/>
      <c r="N32" s="20"/>
      <c r="O32" s="20"/>
      <c r="P32" s="20"/>
      <c r="Q32" s="21"/>
      <c r="R32" s="22"/>
      <c r="S32" s="22"/>
    </row>
    <row r="33" spans="1:19" ht="18.75">
      <c r="A33" s="42"/>
      <c r="B33" s="53" t="s">
        <v>780</v>
      </c>
      <c r="C33" s="74"/>
      <c r="D33" s="74"/>
      <c r="E33" s="42"/>
      <c r="F33" s="99">
        <v>124.58</v>
      </c>
      <c r="G33" s="42"/>
      <c r="H33" s="53"/>
      <c r="I33" s="18"/>
      <c r="J33" s="19"/>
      <c r="N33" s="20"/>
      <c r="O33" s="20"/>
      <c r="P33" s="20"/>
      <c r="Q33" s="21"/>
      <c r="R33" s="22"/>
      <c r="S33" s="22"/>
    </row>
    <row r="34" spans="1:19" ht="18.75">
      <c r="A34" s="42"/>
      <c r="B34" s="53" t="s">
        <v>781</v>
      </c>
      <c r="C34" s="74"/>
      <c r="D34" s="74"/>
      <c r="E34" s="42"/>
      <c r="F34" s="99">
        <v>25422.82</v>
      </c>
      <c r="G34" s="42"/>
      <c r="H34" s="53"/>
      <c r="I34" s="18"/>
      <c r="J34" s="19"/>
      <c r="N34" s="20"/>
      <c r="O34" s="20"/>
      <c r="P34" s="20"/>
      <c r="Q34" s="21"/>
      <c r="R34" s="22"/>
      <c r="S34" s="22"/>
    </row>
    <row r="35" spans="1:19" ht="18.75">
      <c r="A35" s="42"/>
      <c r="B35" s="42" t="s">
        <v>95</v>
      </c>
      <c r="C35" s="74"/>
      <c r="D35" s="74"/>
      <c r="E35" s="42"/>
      <c r="F35" s="99"/>
      <c r="G35" s="42"/>
      <c r="H35" s="53"/>
      <c r="I35" s="18"/>
      <c r="J35" s="19"/>
      <c r="N35" s="20"/>
      <c r="O35" s="20"/>
      <c r="P35" s="20"/>
      <c r="Q35" s="21"/>
      <c r="R35" s="22"/>
      <c r="S35" s="22"/>
    </row>
    <row r="36" spans="1:19" ht="75">
      <c r="A36" s="42"/>
      <c r="B36" s="53" t="s">
        <v>782</v>
      </c>
      <c r="C36" s="74"/>
      <c r="D36" s="74"/>
      <c r="E36" s="42"/>
      <c r="F36" s="99">
        <v>3300.67</v>
      </c>
      <c r="G36" s="42"/>
      <c r="H36" s="53"/>
      <c r="I36" s="18"/>
      <c r="J36" s="19"/>
      <c r="N36" s="20"/>
      <c r="O36" s="20"/>
      <c r="P36" s="20"/>
      <c r="Q36" s="21"/>
      <c r="R36" s="22"/>
      <c r="S36" s="22"/>
    </row>
    <row r="37" spans="1:19" ht="18.75">
      <c r="A37" s="42"/>
      <c r="B37" s="78" t="s">
        <v>84</v>
      </c>
      <c r="C37" s="74"/>
      <c r="D37" s="74"/>
      <c r="E37" s="42"/>
      <c r="F37" s="99">
        <v>722.45</v>
      </c>
      <c r="G37" s="42"/>
      <c r="H37" s="53"/>
      <c r="I37" s="18"/>
      <c r="J37" s="19"/>
      <c r="N37" s="20"/>
      <c r="O37" s="20"/>
      <c r="P37" s="20"/>
      <c r="Q37" s="21"/>
      <c r="R37" s="22"/>
      <c r="S37" s="22"/>
    </row>
    <row r="38" spans="1:19" ht="18.75">
      <c r="A38" s="42"/>
      <c r="B38" s="42" t="s">
        <v>96</v>
      </c>
      <c r="C38" s="74"/>
      <c r="D38" s="74"/>
      <c r="E38" s="42"/>
      <c r="F38" s="99"/>
      <c r="G38" s="42"/>
      <c r="H38" s="53"/>
      <c r="I38" s="18"/>
      <c r="J38" s="19"/>
      <c r="N38" s="20"/>
      <c r="O38" s="20"/>
      <c r="P38" s="20"/>
      <c r="Q38" s="21"/>
      <c r="R38" s="22"/>
      <c r="S38" s="22"/>
    </row>
    <row r="39" spans="1:19" ht="18.75">
      <c r="A39" s="42"/>
      <c r="B39" s="53" t="s">
        <v>81</v>
      </c>
      <c r="C39" s="74"/>
      <c r="D39" s="74"/>
      <c r="E39" s="42"/>
      <c r="F39" s="99">
        <v>74</v>
      </c>
      <c r="G39" s="42"/>
      <c r="H39" s="53"/>
      <c r="I39" s="18"/>
      <c r="J39" s="19"/>
      <c r="N39" s="20"/>
      <c r="O39" s="20"/>
      <c r="P39" s="20"/>
      <c r="Q39" s="21"/>
      <c r="R39" s="22"/>
      <c r="S39" s="22"/>
    </row>
    <row r="40" spans="1:19" ht="37.5">
      <c r="A40" s="42"/>
      <c r="B40" s="78" t="s">
        <v>86</v>
      </c>
      <c r="C40" s="74"/>
      <c r="D40" s="74"/>
      <c r="E40" s="42"/>
      <c r="F40" s="99">
        <v>360.09</v>
      </c>
      <c r="G40" s="42"/>
      <c r="H40" s="53"/>
      <c r="I40" s="18"/>
      <c r="J40" s="19"/>
      <c r="N40" s="20"/>
      <c r="O40" s="20"/>
      <c r="P40" s="20"/>
      <c r="Q40" s="21"/>
      <c r="R40" s="22"/>
      <c r="S40" s="22"/>
    </row>
    <row r="41" spans="1:40" ht="18.75">
      <c r="A41" s="42"/>
      <c r="B41" s="42" t="s">
        <v>97</v>
      </c>
      <c r="C41" s="74"/>
      <c r="D41" s="74"/>
      <c r="E41" s="42"/>
      <c r="F41" s="99"/>
      <c r="G41" s="42"/>
      <c r="H41" s="53"/>
      <c r="I41" s="18"/>
      <c r="J41" s="19"/>
      <c r="N41" s="20"/>
      <c r="O41" s="20"/>
      <c r="P41" s="20"/>
      <c r="Q41" s="21"/>
      <c r="R41" s="22"/>
      <c r="S41" s="22"/>
      <c r="AN41" s="69">
        <f>4478.13-F18</f>
        <v>-840.8200000000006</v>
      </c>
    </row>
    <row r="42" spans="1:19" ht="18.75">
      <c r="A42" s="42"/>
      <c r="B42" s="78" t="s">
        <v>82</v>
      </c>
      <c r="C42" s="74"/>
      <c r="D42" s="74"/>
      <c r="E42" s="42"/>
      <c r="F42" s="99">
        <v>363.42</v>
      </c>
      <c r="G42" s="42"/>
      <c r="H42" s="53"/>
      <c r="I42" s="18"/>
      <c r="J42" s="19"/>
      <c r="N42" s="20"/>
      <c r="O42" s="20"/>
      <c r="P42" s="20"/>
      <c r="Q42" s="21"/>
      <c r="R42" s="22"/>
      <c r="S42" s="22"/>
    </row>
    <row r="43" spans="1:19" ht="56.25" hidden="1">
      <c r="A43" s="42"/>
      <c r="B43" s="14" t="s">
        <v>943</v>
      </c>
      <c r="C43" s="74"/>
      <c r="D43" s="74"/>
      <c r="E43" s="42"/>
      <c r="F43" s="99"/>
      <c r="G43" s="42"/>
      <c r="H43" s="53"/>
      <c r="I43" s="18"/>
      <c r="J43" s="19"/>
      <c r="N43" s="20"/>
      <c r="O43" s="20"/>
      <c r="P43" s="20"/>
      <c r="Q43" s="21"/>
      <c r="R43" s="22"/>
      <c r="S43" s="22"/>
    </row>
    <row r="44" spans="1:24" ht="18.75">
      <c r="A44" s="53"/>
      <c r="B44" s="53" t="s">
        <v>9</v>
      </c>
      <c r="C44" s="74">
        <f>SUM(C13:C29)</f>
        <v>9.01</v>
      </c>
      <c r="D44" s="74">
        <f>SUM(D13:D29)</f>
        <v>9.6</v>
      </c>
      <c r="E44" s="42">
        <f>SUM(E13:E29)</f>
        <v>40816.327999907815</v>
      </c>
      <c r="F44" s="42">
        <f>F13+F14+F15+F16+F17+F18</f>
        <v>24970.44376029952</v>
      </c>
      <c r="G44" s="42">
        <f>G13+G14+G15+G16+G17+G18</f>
        <v>42110.343772070395</v>
      </c>
      <c r="H44" s="53">
        <f>1.04993597951*C44</f>
        <v>9.4599231753851</v>
      </c>
      <c r="I44" s="18">
        <f>1.12035851472*C44</f>
        <v>10.094430217627199</v>
      </c>
      <c r="J44" s="19">
        <f>J18</f>
        <v>0</v>
      </c>
      <c r="N44" s="20"/>
      <c r="Q44" s="24"/>
      <c r="R44" s="22">
        <f>SUM(R13:R29)</f>
        <v>8.620000000000001</v>
      </c>
      <c r="S44" s="22">
        <f>SUM(S13:S29)</f>
        <v>9.16</v>
      </c>
      <c r="T44" s="22"/>
      <c r="U44" s="22"/>
      <c r="V44" s="22">
        <f>SUM(V13:V29)</f>
        <v>5219.92803007956</v>
      </c>
      <c r="W44" s="22">
        <f>SUM(W13:W29)</f>
        <v>5439.25273722576</v>
      </c>
      <c r="X44" s="22">
        <f>SUM(X13:X29)</f>
        <v>10659.18076730532</v>
      </c>
    </row>
    <row r="45" spans="1:34" ht="20.25">
      <c r="A45" s="13">
        <v>5</v>
      </c>
      <c r="B45" s="54" t="s">
        <v>26</v>
      </c>
      <c r="C45" s="127">
        <v>1.58</v>
      </c>
      <c r="D45" s="127">
        <v>1.85</v>
      </c>
      <c r="E45" s="128">
        <f>AD45*AE45*6</f>
        <v>6689.4035679591</v>
      </c>
      <c r="F45" s="129">
        <f>E45</f>
        <v>6689.4035679591</v>
      </c>
      <c r="G45" s="129">
        <f>AD45*12*AH45</f>
        <v>8290.47393012636</v>
      </c>
      <c r="H45" s="69" t="e">
        <f>#REF!</f>
        <v>#REF!</v>
      </c>
      <c r="I45" s="22">
        <f>C45+D45</f>
        <v>3.43</v>
      </c>
      <c r="J45" s="34">
        <v>3.43</v>
      </c>
      <c r="K45">
        <v>10</v>
      </c>
      <c r="L45">
        <v>2</v>
      </c>
      <c r="N45" s="20">
        <f>C45*J45*K45</f>
        <v>54.194</v>
      </c>
      <c r="O45" s="20" t="e">
        <f>#REF!*J45*L45</f>
        <v>#REF!</v>
      </c>
      <c r="P45" s="20" t="e">
        <f>SUM(N45:O45)</f>
        <v>#REF!</v>
      </c>
      <c r="Q45" s="21"/>
      <c r="R45" s="22">
        <v>1.47</v>
      </c>
      <c r="S45">
        <v>1.58</v>
      </c>
      <c r="T45">
        <v>6</v>
      </c>
      <c r="U45">
        <v>6</v>
      </c>
      <c r="V45">
        <f>R45*J45*T45</f>
        <v>30.2526</v>
      </c>
      <c r="W45">
        <f>S45*U45*J45</f>
        <v>32.516400000000004</v>
      </c>
      <c r="X45">
        <f>SUM(V45:W45)</f>
        <v>62.769000000000005</v>
      </c>
      <c r="AD45" s="69">
        <f>C7</f>
        <v>365.541178577</v>
      </c>
      <c r="AE45">
        <v>3.05</v>
      </c>
      <c r="AF45" s="69">
        <f>C6</f>
        <v>0</v>
      </c>
      <c r="AG45">
        <v>3.05</v>
      </c>
      <c r="AH45">
        <v>1.89</v>
      </c>
    </row>
    <row r="46" spans="1:17" ht="18.75">
      <c r="A46" s="55"/>
      <c r="B46" s="56"/>
      <c r="C46" s="55"/>
      <c r="D46" s="55"/>
      <c r="E46" s="55"/>
      <c r="F46" s="55"/>
      <c r="G46" s="55"/>
      <c r="H46" s="55"/>
      <c r="Q46" s="24"/>
    </row>
    <row r="47" spans="1:17" ht="18.75" customHeight="1">
      <c r="A47" s="179" t="s">
        <v>941</v>
      </c>
      <c r="B47" s="179"/>
      <c r="C47" s="193">
        <v>10961.82</v>
      </c>
      <c r="D47" s="193"/>
      <c r="E47" s="55" t="s">
        <v>18</v>
      </c>
      <c r="F47" s="55"/>
      <c r="G47" s="55"/>
      <c r="H47" s="55"/>
      <c r="Q47" s="24"/>
    </row>
    <row r="48" spans="1:17" ht="18.75" customHeight="1">
      <c r="A48" s="179" t="s">
        <v>942</v>
      </c>
      <c r="B48" s="179"/>
      <c r="C48" s="193">
        <v>19959.57</v>
      </c>
      <c r="D48" s="193"/>
      <c r="E48" s="55" t="s">
        <v>18</v>
      </c>
      <c r="F48" s="55"/>
      <c r="G48" s="55"/>
      <c r="H48" s="55"/>
      <c r="Q48" s="24"/>
    </row>
    <row r="49" spans="1:8" ht="18.75">
      <c r="A49" s="207" t="s">
        <v>17</v>
      </c>
      <c r="B49" s="207"/>
      <c r="C49" s="207"/>
      <c r="D49" s="207"/>
      <c r="E49" s="207"/>
      <c r="F49" s="207"/>
      <c r="G49" s="207"/>
      <c r="H49" s="55"/>
    </row>
    <row r="50" spans="1:8" ht="18.75" customHeight="1" hidden="1">
      <c r="A50" s="206" t="s">
        <v>35</v>
      </c>
      <c r="B50" s="206"/>
      <c r="C50" s="52" t="e">
        <f>C47-#REF!</f>
        <v>#REF!</v>
      </c>
      <c r="D50" s="55" t="s">
        <v>18</v>
      </c>
      <c r="E50" s="55"/>
      <c r="F50" s="55"/>
      <c r="G50" s="55"/>
      <c r="H50" s="55"/>
    </row>
    <row r="51" spans="1:8" ht="18.75" customHeight="1" hidden="1">
      <c r="A51" s="206" t="s">
        <v>36</v>
      </c>
      <c r="B51" s="206"/>
      <c r="C51" s="96">
        <f>E44-F44</f>
        <v>15845.884239608295</v>
      </c>
      <c r="D51" s="96" t="str">
        <f>D50</f>
        <v>рублей</v>
      </c>
      <c r="E51" s="59"/>
      <c r="F51" s="59"/>
      <c r="G51" s="59"/>
      <c r="H51" s="60"/>
    </row>
    <row r="52" spans="1:8" ht="18.75">
      <c r="A52" s="59"/>
      <c r="B52" s="59"/>
      <c r="C52" s="59"/>
      <c r="D52" s="59"/>
      <c r="E52" s="59"/>
      <c r="F52" s="59"/>
      <c r="G52" s="59"/>
      <c r="H52" s="70"/>
    </row>
    <row r="53" spans="1:8" ht="18.75">
      <c r="A53" s="59"/>
      <c r="B53" s="59"/>
      <c r="C53" s="59"/>
      <c r="D53" s="59"/>
      <c r="E53" s="59"/>
      <c r="F53" s="59"/>
      <c r="G53" s="59"/>
      <c r="H53" s="70"/>
    </row>
    <row r="54" spans="1:8" ht="18.75">
      <c r="A54" s="59"/>
      <c r="B54" s="59"/>
      <c r="C54" s="59"/>
      <c r="D54" s="59"/>
      <c r="E54" s="59"/>
      <c r="F54" s="59"/>
      <c r="G54" s="59"/>
      <c r="H54" s="70"/>
    </row>
    <row r="55" spans="1:8" ht="18.75">
      <c r="A55" s="59"/>
      <c r="B55" s="59"/>
      <c r="C55" s="59"/>
      <c r="D55" s="59"/>
      <c r="E55" s="59"/>
      <c r="F55" s="59"/>
      <c r="G55" s="59"/>
      <c r="H55" s="70"/>
    </row>
    <row r="56" spans="1:8" ht="18.75">
      <c r="A56" s="59"/>
      <c r="B56" s="59"/>
      <c r="C56" s="59"/>
      <c r="D56" s="59"/>
      <c r="E56" s="59"/>
      <c r="F56" s="59"/>
      <c r="G56" s="59"/>
      <c r="H56" s="70"/>
    </row>
    <row r="57" spans="1:8" ht="18.75">
      <c r="A57" s="59"/>
      <c r="B57" s="59"/>
      <c r="C57" s="59"/>
      <c r="D57" s="59"/>
      <c r="E57" s="59"/>
      <c r="F57" s="59"/>
      <c r="G57" s="59"/>
      <c r="H57" s="70"/>
    </row>
    <row r="58" spans="1:8" ht="18.75">
      <c r="A58" s="59"/>
      <c r="B58" s="59"/>
      <c r="C58" s="59"/>
      <c r="D58" s="59"/>
      <c r="E58" s="59"/>
      <c r="F58" s="59"/>
      <c r="G58" s="59"/>
      <c r="H58" s="70"/>
    </row>
    <row r="59" spans="1:8" ht="18.75">
      <c r="A59" s="70"/>
      <c r="B59" s="70"/>
      <c r="C59" s="70"/>
      <c r="D59" s="70"/>
      <c r="E59" s="70"/>
      <c r="F59" s="70"/>
      <c r="G59" s="70"/>
      <c r="H59" s="70"/>
    </row>
    <row r="60" spans="1:8" ht="18.75">
      <c r="A60" s="70"/>
      <c r="B60" s="70"/>
      <c r="C60" s="70"/>
      <c r="D60" s="70"/>
      <c r="E60" s="70"/>
      <c r="F60" s="70"/>
      <c r="G60" s="70"/>
      <c r="H60" s="70"/>
    </row>
    <row r="61" spans="1:8" ht="18.75">
      <c r="A61" s="70"/>
      <c r="B61" s="70"/>
      <c r="C61" s="70"/>
      <c r="D61" s="70"/>
      <c r="E61" s="70"/>
      <c r="F61" s="70"/>
      <c r="G61" s="70"/>
      <c r="H61" s="70"/>
    </row>
    <row r="62" spans="1:8" ht="18.75">
      <c r="A62" s="70"/>
      <c r="B62" s="70"/>
      <c r="C62" s="70"/>
      <c r="D62" s="70"/>
      <c r="E62" s="70"/>
      <c r="F62" s="70"/>
      <c r="G62" s="70"/>
      <c r="H62" s="70"/>
    </row>
    <row r="63" spans="1:8" ht="18.75">
      <c r="A63" s="70"/>
      <c r="B63" s="70"/>
      <c r="C63" s="70"/>
      <c r="D63" s="70"/>
      <c r="E63" s="70"/>
      <c r="F63" s="70"/>
      <c r="G63" s="70"/>
      <c r="H63" s="70"/>
    </row>
    <row r="64" spans="1:8" ht="18.75">
      <c r="A64" s="70"/>
      <c r="B64" s="70"/>
      <c r="C64" s="70"/>
      <c r="D64" s="70"/>
      <c r="E64" s="70"/>
      <c r="F64" s="70"/>
      <c r="G64" s="70"/>
      <c r="H64" s="70"/>
    </row>
    <row r="65" spans="1:8" ht="18.75">
      <c r="A65" s="70"/>
      <c r="B65" s="70"/>
      <c r="C65" s="70"/>
      <c r="D65" s="70"/>
      <c r="E65" s="70"/>
      <c r="F65" s="70"/>
      <c r="G65" s="70"/>
      <c r="H65" s="70"/>
    </row>
    <row r="66" spans="1:8" ht="18.75">
      <c r="A66" s="70"/>
      <c r="B66" s="70"/>
      <c r="C66" s="70"/>
      <c r="D66" s="70"/>
      <c r="E66" s="70"/>
      <c r="F66" s="70"/>
      <c r="G66" s="70"/>
      <c r="H66" s="70"/>
    </row>
    <row r="67" spans="1:8" ht="18.75">
      <c r="A67" s="70"/>
      <c r="B67" s="70"/>
      <c r="C67" s="70"/>
      <c r="D67" s="70"/>
      <c r="E67" s="70"/>
      <c r="F67" s="70"/>
      <c r="G67" s="70"/>
      <c r="H67" s="70"/>
    </row>
    <row r="68" spans="1:8" ht="18.75">
      <c r="A68" s="70"/>
      <c r="B68" s="70"/>
      <c r="C68" s="70"/>
      <c r="D68" s="70"/>
      <c r="E68" s="70"/>
      <c r="F68" s="70"/>
      <c r="G68" s="70"/>
      <c r="H68" s="70"/>
    </row>
    <row r="69" spans="1:8" ht="18.75">
      <c r="A69" s="70"/>
      <c r="B69" s="70"/>
      <c r="C69" s="70"/>
      <c r="D69" s="70"/>
      <c r="E69" s="70"/>
      <c r="F69" s="70"/>
      <c r="G69" s="70"/>
      <c r="H69" s="70"/>
    </row>
    <row r="70" spans="1:8" ht="18.75">
      <c r="A70" s="70"/>
      <c r="B70" s="70"/>
      <c r="C70" s="70"/>
      <c r="D70" s="70"/>
      <c r="E70" s="70"/>
      <c r="F70" s="70"/>
      <c r="G70" s="70"/>
      <c r="H70" s="70"/>
    </row>
    <row r="71" spans="1:8" ht="18.75">
      <c r="A71" s="70"/>
      <c r="B71" s="70"/>
      <c r="C71" s="70"/>
      <c r="D71" s="70"/>
      <c r="E71" s="70"/>
      <c r="F71" s="70"/>
      <c r="G71" s="70"/>
      <c r="H71" s="70"/>
    </row>
    <row r="72" spans="1:8" ht="18.75">
      <c r="A72" s="70"/>
      <c r="B72" s="70"/>
      <c r="C72" s="70"/>
      <c r="D72" s="70"/>
      <c r="E72" s="70"/>
      <c r="F72" s="70"/>
      <c r="G72" s="70"/>
      <c r="H72" s="70"/>
    </row>
    <row r="73" spans="1:8" ht="18.75">
      <c r="A73" s="70"/>
      <c r="B73" s="70"/>
      <c r="C73" s="70"/>
      <c r="D73" s="70"/>
      <c r="E73" s="70"/>
      <c r="F73" s="70"/>
      <c r="G73" s="70"/>
      <c r="H73" s="70"/>
    </row>
    <row r="74" spans="1:8" ht="18.75">
      <c r="A74" s="70"/>
      <c r="B74" s="70"/>
      <c r="C74" s="70"/>
      <c r="D74" s="70"/>
      <c r="E74" s="70"/>
      <c r="F74" s="70"/>
      <c r="G74" s="70"/>
      <c r="H74" s="70"/>
    </row>
    <row r="75" spans="1:8" ht="18.75">
      <c r="A75" s="70"/>
      <c r="B75" s="70"/>
      <c r="C75" s="70"/>
      <c r="D75" s="70"/>
      <c r="E75" s="70"/>
      <c r="F75" s="70"/>
      <c r="G75" s="70"/>
      <c r="H75" s="70"/>
    </row>
    <row r="76" spans="1:8" ht="18.75">
      <c r="A76" s="70"/>
      <c r="B76" s="70"/>
      <c r="C76" s="70"/>
      <c r="D76" s="70"/>
      <c r="E76" s="70"/>
      <c r="F76" s="70"/>
      <c r="G76" s="70"/>
      <c r="H76" s="70"/>
    </row>
    <row r="77" spans="1:8" ht="18.75">
      <c r="A77" s="70"/>
      <c r="B77" s="70"/>
      <c r="C77" s="70"/>
      <c r="D77" s="70"/>
      <c r="E77" s="70"/>
      <c r="F77" s="70"/>
      <c r="G77" s="70"/>
      <c r="H77" s="70"/>
    </row>
    <row r="78" spans="1:8" ht="18.75">
      <c r="A78" s="70"/>
      <c r="B78" s="70"/>
      <c r="C78" s="70"/>
      <c r="D78" s="70"/>
      <c r="E78" s="70"/>
      <c r="F78" s="70"/>
      <c r="G78" s="70"/>
      <c r="H78" s="70"/>
    </row>
    <row r="79" spans="1:8" ht="18.75">
      <c r="A79" s="70"/>
      <c r="B79" s="70"/>
      <c r="C79" s="70"/>
      <c r="D79" s="70"/>
      <c r="E79" s="70"/>
      <c r="F79" s="70"/>
      <c r="G79" s="70"/>
      <c r="H79" s="70"/>
    </row>
    <row r="80" spans="1:8" ht="18.75">
      <c r="A80" s="70"/>
      <c r="B80" s="70"/>
      <c r="C80" s="70"/>
      <c r="D80" s="70"/>
      <c r="E80" s="70"/>
      <c r="F80" s="70"/>
      <c r="G80" s="70"/>
      <c r="H80" s="70"/>
    </row>
    <row r="81" spans="1:8" ht="18.75">
      <c r="A81" s="70"/>
      <c r="B81" s="70"/>
      <c r="C81" s="70"/>
      <c r="D81" s="70"/>
      <c r="E81" s="70"/>
      <c r="F81" s="70"/>
      <c r="G81" s="70"/>
      <c r="H81" s="70"/>
    </row>
    <row r="82" spans="1:8" ht="18.75">
      <c r="A82" s="70"/>
      <c r="B82" s="70"/>
      <c r="C82" s="70"/>
      <c r="D82" s="70"/>
      <c r="E82" s="70"/>
      <c r="F82" s="70"/>
      <c r="G82" s="70"/>
      <c r="H82" s="70"/>
    </row>
    <row r="83" spans="1:8" ht="18.75">
      <c r="A83" s="70"/>
      <c r="B83" s="70"/>
      <c r="C83" s="70"/>
      <c r="D83" s="70"/>
      <c r="E83" s="70"/>
      <c r="F83" s="70"/>
      <c r="G83" s="70"/>
      <c r="H83" s="70"/>
    </row>
    <row r="84" spans="1:8" ht="18.75">
      <c r="A84" s="70"/>
      <c r="B84" s="70"/>
      <c r="C84" s="70"/>
      <c r="D84" s="70"/>
      <c r="E84" s="70"/>
      <c r="F84" s="70"/>
      <c r="G84" s="70"/>
      <c r="H84" s="70"/>
    </row>
    <row r="85" spans="1:8" ht="18.75">
      <c r="A85" s="70"/>
      <c r="B85" s="70"/>
      <c r="C85" s="70"/>
      <c r="D85" s="70"/>
      <c r="E85" s="70"/>
      <c r="F85" s="70"/>
      <c r="G85" s="70"/>
      <c r="H85" s="70"/>
    </row>
    <row r="86" spans="1:8" ht="18.75">
      <c r="A86" s="70"/>
      <c r="B86" s="70"/>
      <c r="C86" s="70"/>
      <c r="D86" s="70"/>
      <c r="E86" s="70"/>
      <c r="F86" s="70"/>
      <c r="G86" s="70"/>
      <c r="H86" s="70"/>
    </row>
    <row r="87" spans="1:8" ht="18.75">
      <c r="A87" s="70"/>
      <c r="B87" s="70"/>
      <c r="C87" s="70"/>
      <c r="D87" s="70"/>
      <c r="E87" s="70"/>
      <c r="F87" s="70"/>
      <c r="G87" s="70"/>
      <c r="H87" s="70"/>
    </row>
    <row r="88" spans="1:8" ht="18.75">
      <c r="A88" s="70"/>
      <c r="B88" s="70"/>
      <c r="C88" s="70"/>
      <c r="D88" s="70"/>
      <c r="E88" s="70"/>
      <c r="F88" s="70"/>
      <c r="G88" s="70"/>
      <c r="H88" s="70"/>
    </row>
    <row r="89" spans="1:8" ht="18.75">
      <c r="A89" s="70"/>
      <c r="B89" s="70"/>
      <c r="C89" s="70"/>
      <c r="D89" s="70"/>
      <c r="E89" s="70"/>
      <c r="F89" s="70"/>
      <c r="G89" s="70"/>
      <c r="H89" s="70"/>
    </row>
    <row r="90" spans="1:8" ht="18.75">
      <c r="A90" s="70"/>
      <c r="B90" s="70"/>
      <c r="C90" s="70"/>
      <c r="D90" s="70"/>
      <c r="E90" s="70"/>
      <c r="F90" s="70"/>
      <c r="G90" s="70"/>
      <c r="H90" s="70"/>
    </row>
    <row r="91" spans="1:8" ht="18.75">
      <c r="A91" s="70"/>
      <c r="B91" s="70"/>
      <c r="C91" s="70"/>
      <c r="D91" s="70"/>
      <c r="E91" s="70"/>
      <c r="F91" s="70"/>
      <c r="G91" s="70"/>
      <c r="H91" s="70"/>
    </row>
    <row r="92" spans="1:8" ht="18.75">
      <c r="A92" s="70"/>
      <c r="B92" s="70"/>
      <c r="C92" s="70"/>
      <c r="D92" s="70"/>
      <c r="E92" s="70"/>
      <c r="F92" s="70"/>
      <c r="G92" s="70"/>
      <c r="H92" s="70"/>
    </row>
    <row r="93" spans="1:8" ht="18.75">
      <c r="A93" s="70"/>
      <c r="B93" s="70"/>
      <c r="C93" s="70"/>
      <c r="D93" s="70"/>
      <c r="E93" s="70"/>
      <c r="F93" s="70"/>
      <c r="G93" s="70"/>
      <c r="H93" s="70"/>
    </row>
    <row r="94" spans="1:8" ht="18.75">
      <c r="A94" s="70"/>
      <c r="B94" s="70"/>
      <c r="C94" s="70"/>
      <c r="D94" s="70"/>
      <c r="E94" s="70"/>
      <c r="F94" s="70"/>
      <c r="G94" s="70"/>
      <c r="H94" s="70"/>
    </row>
    <row r="95" spans="1:8" ht="18.75">
      <c r="A95" s="70"/>
      <c r="B95" s="70"/>
      <c r="C95" s="70"/>
      <c r="D95" s="70"/>
      <c r="E95" s="70"/>
      <c r="F95" s="70"/>
      <c r="G95" s="70"/>
      <c r="H95" s="70"/>
    </row>
    <row r="96" spans="1:8" ht="18.75">
      <c r="A96" s="70"/>
      <c r="B96" s="70"/>
      <c r="C96" s="70"/>
      <c r="D96" s="70"/>
      <c r="E96" s="70"/>
      <c r="F96" s="70"/>
      <c r="G96" s="70"/>
      <c r="H96" s="70"/>
    </row>
    <row r="97" spans="1:8" ht="18.75">
      <c r="A97" s="70"/>
      <c r="B97" s="70"/>
      <c r="C97" s="70"/>
      <c r="D97" s="70"/>
      <c r="E97" s="70"/>
      <c r="F97" s="70"/>
      <c r="G97" s="70"/>
      <c r="H97" s="70"/>
    </row>
    <row r="98" spans="1:8" ht="18.75">
      <c r="A98" s="70"/>
      <c r="B98" s="70"/>
      <c r="C98" s="70"/>
      <c r="D98" s="70"/>
      <c r="E98" s="70"/>
      <c r="F98" s="70"/>
      <c r="G98" s="70"/>
      <c r="H98" s="70"/>
    </row>
    <row r="99" spans="1:8" ht="18.75">
      <c r="A99" s="70"/>
      <c r="B99" s="70"/>
      <c r="C99" s="70"/>
      <c r="D99" s="70"/>
      <c r="E99" s="70"/>
      <c r="F99" s="70"/>
      <c r="G99" s="70"/>
      <c r="H99" s="70"/>
    </row>
    <row r="100" spans="1:8" ht="18.75">
      <c r="A100" s="70"/>
      <c r="B100" s="70"/>
      <c r="C100" s="70"/>
      <c r="D100" s="70"/>
      <c r="E100" s="70"/>
      <c r="F100" s="70"/>
      <c r="G100" s="70"/>
      <c r="H100" s="70"/>
    </row>
    <row r="101" spans="1:8" ht="18.75">
      <c r="A101" s="70"/>
      <c r="B101" s="70"/>
      <c r="C101" s="70"/>
      <c r="D101" s="70"/>
      <c r="E101" s="70"/>
      <c r="F101" s="70"/>
      <c r="G101" s="70"/>
      <c r="H101" s="70"/>
    </row>
    <row r="102" spans="1:8" ht="18.75">
      <c r="A102" s="70"/>
      <c r="B102" s="70"/>
      <c r="C102" s="70"/>
      <c r="D102" s="70"/>
      <c r="E102" s="70"/>
      <c r="F102" s="70"/>
      <c r="G102" s="70"/>
      <c r="H102" s="70"/>
    </row>
    <row r="103" spans="1:8" ht="18.75">
      <c r="A103" s="70"/>
      <c r="B103" s="70"/>
      <c r="C103" s="70"/>
      <c r="D103" s="70"/>
      <c r="E103" s="70"/>
      <c r="F103" s="70"/>
      <c r="G103" s="70"/>
      <c r="H103" s="70"/>
    </row>
    <row r="104" spans="1:8" ht="18.75">
      <c r="A104" s="70"/>
      <c r="B104" s="70"/>
      <c r="C104" s="70"/>
      <c r="D104" s="70"/>
      <c r="E104" s="70"/>
      <c r="F104" s="70"/>
      <c r="G104" s="70"/>
      <c r="H104" s="70"/>
    </row>
    <row r="105" spans="1:8" ht="18.75">
      <c r="A105" s="70"/>
      <c r="B105" s="70"/>
      <c r="C105" s="70"/>
      <c r="D105" s="70"/>
      <c r="E105" s="70"/>
      <c r="F105" s="70"/>
      <c r="G105" s="70"/>
      <c r="H105" s="70"/>
    </row>
    <row r="106" spans="1:8" ht="18.75">
      <c r="A106" s="70"/>
      <c r="B106" s="70"/>
      <c r="C106" s="70"/>
      <c r="D106" s="70"/>
      <c r="E106" s="70"/>
      <c r="F106" s="70"/>
      <c r="G106" s="70"/>
      <c r="H106" s="70"/>
    </row>
    <row r="107" spans="1:8" ht="18.75">
      <c r="A107" s="70"/>
      <c r="B107" s="70"/>
      <c r="C107" s="70"/>
      <c r="D107" s="70"/>
      <c r="E107" s="70"/>
      <c r="F107" s="70"/>
      <c r="G107" s="70"/>
      <c r="H107" s="70"/>
    </row>
    <row r="108" spans="1:8" ht="18.75">
      <c r="A108" s="70"/>
      <c r="B108" s="70"/>
      <c r="C108" s="70"/>
      <c r="D108" s="70"/>
      <c r="E108" s="70"/>
      <c r="F108" s="70"/>
      <c r="G108" s="70"/>
      <c r="H108" s="70"/>
    </row>
    <row r="109" spans="1:8" ht="18.75">
      <c r="A109" s="70"/>
      <c r="B109" s="70"/>
      <c r="C109" s="70"/>
      <c r="D109" s="70"/>
      <c r="E109" s="70"/>
      <c r="F109" s="70"/>
      <c r="G109" s="70"/>
      <c r="H109" s="70"/>
    </row>
    <row r="110" spans="1:8" ht="18.75">
      <c r="A110" s="70"/>
      <c r="B110" s="70"/>
      <c r="C110" s="70"/>
      <c r="D110" s="70"/>
      <c r="E110" s="70"/>
      <c r="F110" s="70"/>
      <c r="G110" s="70"/>
      <c r="H110" s="70"/>
    </row>
    <row r="111" spans="1:8" ht="18.75">
      <c r="A111" s="70"/>
      <c r="B111" s="70"/>
      <c r="C111" s="70"/>
      <c r="D111" s="70"/>
      <c r="E111" s="70"/>
      <c r="F111" s="70"/>
      <c r="G111" s="70"/>
      <c r="H111" s="70"/>
    </row>
    <row r="112" spans="1:8" ht="18.75">
      <c r="A112" s="70"/>
      <c r="B112" s="70"/>
      <c r="C112" s="70"/>
      <c r="D112" s="70"/>
      <c r="E112" s="70"/>
      <c r="F112" s="70"/>
      <c r="G112" s="70"/>
      <c r="H112" s="70"/>
    </row>
    <row r="113" spans="1:8" ht="18.75">
      <c r="A113" s="70"/>
      <c r="B113" s="70"/>
      <c r="C113" s="70"/>
      <c r="D113" s="70"/>
      <c r="E113" s="70"/>
      <c r="F113" s="70"/>
      <c r="G113" s="70"/>
      <c r="H113" s="70"/>
    </row>
    <row r="114" spans="1:8" ht="18.75">
      <c r="A114" s="70"/>
      <c r="B114" s="70"/>
      <c r="C114" s="70"/>
      <c r="D114" s="70"/>
      <c r="E114" s="70"/>
      <c r="F114" s="70"/>
      <c r="G114" s="70"/>
      <c r="H114" s="70"/>
    </row>
    <row r="115" spans="1:8" ht="18.75">
      <c r="A115" s="70"/>
      <c r="B115" s="70"/>
      <c r="C115" s="70"/>
      <c r="D115" s="70"/>
      <c r="E115" s="70"/>
      <c r="F115" s="70"/>
      <c r="G115" s="70"/>
      <c r="H115" s="70"/>
    </row>
    <row r="116" spans="1:8" ht="18.75">
      <c r="A116" s="70"/>
      <c r="B116" s="70"/>
      <c r="C116" s="70"/>
      <c r="D116" s="70"/>
      <c r="E116" s="70"/>
      <c r="F116" s="70"/>
      <c r="G116" s="70"/>
      <c r="H116" s="70"/>
    </row>
    <row r="117" spans="1:8" ht="18.75">
      <c r="A117" s="70"/>
      <c r="B117" s="70"/>
      <c r="C117" s="70"/>
      <c r="D117" s="70"/>
      <c r="E117" s="70"/>
      <c r="F117" s="70"/>
      <c r="G117" s="70"/>
      <c r="H117" s="70"/>
    </row>
    <row r="118" spans="1:8" ht="18.75">
      <c r="A118" s="70"/>
      <c r="B118" s="70"/>
      <c r="C118" s="70"/>
      <c r="D118" s="70"/>
      <c r="E118" s="70"/>
      <c r="F118" s="70"/>
      <c r="G118" s="70"/>
      <c r="H118" s="70"/>
    </row>
    <row r="119" spans="1:8" ht="18.75">
      <c r="A119" s="70"/>
      <c r="B119" s="70"/>
      <c r="C119" s="70"/>
      <c r="D119" s="70"/>
      <c r="E119" s="70"/>
      <c r="F119" s="70"/>
      <c r="G119" s="70"/>
      <c r="H119" s="70"/>
    </row>
    <row r="120" spans="1:8" ht="18.75">
      <c r="A120" s="70"/>
      <c r="B120" s="70"/>
      <c r="C120" s="70"/>
      <c r="D120" s="70"/>
      <c r="E120" s="70"/>
      <c r="F120" s="70"/>
      <c r="G120" s="70"/>
      <c r="H120" s="70"/>
    </row>
    <row r="121" spans="1:8" ht="18.75">
      <c r="A121" s="70"/>
      <c r="B121" s="70"/>
      <c r="C121" s="70"/>
      <c r="D121" s="70"/>
      <c r="E121" s="70"/>
      <c r="F121" s="70"/>
      <c r="G121" s="70"/>
      <c r="H121" s="70"/>
    </row>
    <row r="122" spans="1:8" ht="18.75">
      <c r="A122" s="70"/>
      <c r="B122" s="70"/>
      <c r="C122" s="70"/>
      <c r="D122" s="70"/>
      <c r="E122" s="70"/>
      <c r="F122" s="70"/>
      <c r="G122" s="70"/>
      <c r="H122" s="70"/>
    </row>
    <row r="123" spans="1:8" ht="18.75">
      <c r="A123" s="70"/>
      <c r="B123" s="70"/>
      <c r="C123" s="70"/>
      <c r="D123" s="70"/>
      <c r="E123" s="70"/>
      <c r="F123" s="70"/>
      <c r="G123" s="70"/>
      <c r="H123" s="70"/>
    </row>
    <row r="124" spans="1:8" ht="18.75">
      <c r="A124" s="70"/>
      <c r="B124" s="70"/>
      <c r="C124" s="70"/>
      <c r="D124" s="70"/>
      <c r="E124" s="70"/>
      <c r="F124" s="70"/>
      <c r="G124" s="70"/>
      <c r="H124" s="70"/>
    </row>
    <row r="125" spans="1:8" ht="18.75">
      <c r="A125" s="70"/>
      <c r="B125" s="70"/>
      <c r="C125" s="70"/>
      <c r="D125" s="70"/>
      <c r="E125" s="70"/>
      <c r="F125" s="70"/>
      <c r="G125" s="70"/>
      <c r="H125" s="70"/>
    </row>
    <row r="126" spans="1:8" ht="18.75">
      <c r="A126" s="70"/>
      <c r="B126" s="70"/>
      <c r="C126" s="70"/>
      <c r="D126" s="70"/>
      <c r="E126" s="70"/>
      <c r="F126" s="70"/>
      <c r="G126" s="70"/>
      <c r="H126" s="70"/>
    </row>
    <row r="127" spans="1:8" ht="18.75">
      <c r="A127" s="70"/>
      <c r="B127" s="70"/>
      <c r="C127" s="70"/>
      <c r="D127" s="70"/>
      <c r="E127" s="70"/>
      <c r="F127" s="70"/>
      <c r="G127" s="70"/>
      <c r="H127" s="70"/>
    </row>
    <row r="128" spans="1:8" ht="18.75">
      <c r="A128" s="70"/>
      <c r="B128" s="70"/>
      <c r="C128" s="70"/>
      <c r="D128" s="70"/>
      <c r="E128" s="70"/>
      <c r="F128" s="70"/>
      <c r="G128" s="70"/>
      <c r="H128" s="70"/>
    </row>
    <row r="129" spans="1:8" ht="18.75">
      <c r="A129" s="70"/>
      <c r="B129" s="70"/>
      <c r="C129" s="70"/>
      <c r="D129" s="70"/>
      <c r="E129" s="70"/>
      <c r="F129" s="70"/>
      <c r="G129" s="70"/>
      <c r="H129" s="70"/>
    </row>
    <row r="130" spans="1:8" ht="18.75">
      <c r="A130" s="70"/>
      <c r="B130" s="70"/>
      <c r="C130" s="70"/>
      <c r="D130" s="70"/>
      <c r="E130" s="70"/>
      <c r="F130" s="70"/>
      <c r="G130" s="70"/>
      <c r="H130" s="70"/>
    </row>
    <row r="131" spans="1:8" ht="18.75">
      <c r="A131" s="70"/>
      <c r="B131" s="70"/>
      <c r="C131" s="70"/>
      <c r="D131" s="70"/>
      <c r="E131" s="70"/>
      <c r="F131" s="70"/>
      <c r="G131" s="70"/>
      <c r="H131" s="70"/>
    </row>
    <row r="132" spans="1:8" ht="18.75">
      <c r="A132" s="70"/>
      <c r="B132" s="70"/>
      <c r="C132" s="70"/>
      <c r="D132" s="70"/>
      <c r="E132" s="70"/>
      <c r="F132" s="70"/>
      <c r="G132" s="70"/>
      <c r="H132" s="70"/>
    </row>
    <row r="133" spans="1:8" ht="18.75">
      <c r="A133" s="70"/>
      <c r="B133" s="70"/>
      <c r="C133" s="70"/>
      <c r="D133" s="70"/>
      <c r="E133" s="70"/>
      <c r="F133" s="70"/>
      <c r="G133" s="70"/>
      <c r="H133" s="70"/>
    </row>
    <row r="134" spans="1:8" ht="18.75">
      <c r="A134" s="70"/>
      <c r="B134" s="70"/>
      <c r="C134" s="70"/>
      <c r="D134" s="70"/>
      <c r="E134" s="70"/>
      <c r="F134" s="70"/>
      <c r="G134" s="70"/>
      <c r="H134" s="70"/>
    </row>
    <row r="135" spans="1:8" ht="18.75">
      <c r="A135" s="70"/>
      <c r="B135" s="70"/>
      <c r="C135" s="70"/>
      <c r="D135" s="70"/>
      <c r="E135" s="70"/>
      <c r="F135" s="70"/>
      <c r="G135" s="70"/>
      <c r="H135" s="70"/>
    </row>
    <row r="136" spans="1:8" ht="18.75">
      <c r="A136" s="70"/>
      <c r="B136" s="70"/>
      <c r="C136" s="70"/>
      <c r="D136" s="70"/>
      <c r="E136" s="70"/>
      <c r="F136" s="70"/>
      <c r="G136" s="70"/>
      <c r="H136" s="70"/>
    </row>
    <row r="137" spans="1:8" ht="18.75">
      <c r="A137" s="70"/>
      <c r="B137" s="70"/>
      <c r="C137" s="70"/>
      <c r="D137" s="70"/>
      <c r="E137" s="70"/>
      <c r="F137" s="70"/>
      <c r="G137" s="70"/>
      <c r="H137" s="70"/>
    </row>
    <row r="138" spans="1:8" ht="18.75">
      <c r="A138" s="70"/>
      <c r="B138" s="70"/>
      <c r="C138" s="70"/>
      <c r="D138" s="70"/>
      <c r="E138" s="70"/>
      <c r="F138" s="70"/>
      <c r="G138" s="70"/>
      <c r="H138" s="70"/>
    </row>
    <row r="139" spans="1:8" ht="18.75">
      <c r="A139" s="70"/>
      <c r="B139" s="70"/>
      <c r="C139" s="70"/>
      <c r="D139" s="70"/>
      <c r="E139" s="70"/>
      <c r="F139" s="70"/>
      <c r="G139" s="70"/>
      <c r="H139" s="70"/>
    </row>
    <row r="140" spans="1:8" ht="18.75">
      <c r="A140" s="70"/>
      <c r="B140" s="70"/>
      <c r="C140" s="70"/>
      <c r="D140" s="70"/>
      <c r="E140" s="70"/>
      <c r="F140" s="70"/>
      <c r="G140" s="70"/>
      <c r="H140" s="70"/>
    </row>
    <row r="141" spans="1:8" ht="18.75">
      <c r="A141" s="70"/>
      <c r="B141" s="70"/>
      <c r="C141" s="70"/>
      <c r="D141" s="70"/>
      <c r="E141" s="70"/>
      <c r="F141" s="70"/>
      <c r="G141" s="70"/>
      <c r="H141" s="70"/>
    </row>
    <row r="142" spans="1:8" ht="18.75">
      <c r="A142" s="70"/>
      <c r="B142" s="70"/>
      <c r="C142" s="70"/>
      <c r="D142" s="70"/>
      <c r="E142" s="70"/>
      <c r="F142" s="70"/>
      <c r="G142" s="70"/>
      <c r="H142" s="70"/>
    </row>
    <row r="143" spans="1:8" ht="18.75">
      <c r="A143" s="70"/>
      <c r="B143" s="70"/>
      <c r="C143" s="70"/>
      <c r="D143" s="70"/>
      <c r="E143" s="70"/>
      <c r="F143" s="70"/>
      <c r="G143" s="70"/>
      <c r="H143" s="70"/>
    </row>
    <row r="144" spans="1:8" ht="18.75">
      <c r="A144" s="70"/>
      <c r="B144" s="70"/>
      <c r="C144" s="70"/>
      <c r="D144" s="70"/>
      <c r="E144" s="70"/>
      <c r="F144" s="70"/>
      <c r="G144" s="70"/>
      <c r="H144" s="70"/>
    </row>
    <row r="145" spans="1:8" ht="18.75">
      <c r="A145" s="70"/>
      <c r="B145" s="70"/>
      <c r="C145" s="70"/>
      <c r="D145" s="70"/>
      <c r="E145" s="70"/>
      <c r="F145" s="70"/>
      <c r="G145" s="70"/>
      <c r="H145" s="70"/>
    </row>
    <row r="146" spans="1:8" ht="18.75">
      <c r="A146" s="70"/>
      <c r="B146" s="70"/>
      <c r="C146" s="70"/>
      <c r="D146" s="70"/>
      <c r="E146" s="70"/>
      <c r="F146" s="70"/>
      <c r="G146" s="70"/>
      <c r="H146" s="70"/>
    </row>
    <row r="147" spans="1:8" ht="18.75">
      <c r="A147" s="70"/>
      <c r="B147" s="70"/>
      <c r="C147" s="70"/>
      <c r="D147" s="70"/>
      <c r="E147" s="70"/>
      <c r="F147" s="70"/>
      <c r="G147" s="70"/>
      <c r="H147" s="70"/>
    </row>
    <row r="148" spans="1:8" ht="18.75">
      <c r="A148" s="70"/>
      <c r="B148" s="70"/>
      <c r="C148" s="70"/>
      <c r="D148" s="70"/>
      <c r="E148" s="70"/>
      <c r="F148" s="70"/>
      <c r="G148" s="70"/>
      <c r="H148" s="70"/>
    </row>
    <row r="149" spans="1:8" ht="18.75">
      <c r="A149" s="70"/>
      <c r="B149" s="70"/>
      <c r="C149" s="70"/>
      <c r="D149" s="70"/>
      <c r="E149" s="70"/>
      <c r="F149" s="70"/>
      <c r="G149" s="70"/>
      <c r="H149" s="70"/>
    </row>
    <row r="150" spans="1:8" ht="18.75">
      <c r="A150" s="70"/>
      <c r="B150" s="70"/>
      <c r="C150" s="70"/>
      <c r="D150" s="70"/>
      <c r="E150" s="70"/>
      <c r="F150" s="70"/>
      <c r="G150" s="70"/>
      <c r="H150" s="70"/>
    </row>
    <row r="151" spans="1:8" ht="18.75">
      <c r="A151" s="70"/>
      <c r="B151" s="70"/>
      <c r="C151" s="70"/>
      <c r="D151" s="70"/>
      <c r="E151" s="70"/>
      <c r="F151" s="70"/>
      <c r="G151" s="70"/>
      <c r="H151" s="70"/>
    </row>
    <row r="152" spans="1:8" ht="18.75">
      <c r="A152" s="70"/>
      <c r="B152" s="70"/>
      <c r="C152" s="70"/>
      <c r="D152" s="70"/>
      <c r="E152" s="70"/>
      <c r="F152" s="70"/>
      <c r="G152" s="70"/>
      <c r="H152" s="70"/>
    </row>
    <row r="153" spans="1:8" ht="18.75">
      <c r="A153" s="70"/>
      <c r="B153" s="70"/>
      <c r="C153" s="70"/>
      <c r="D153" s="70"/>
      <c r="E153" s="70"/>
      <c r="F153" s="70"/>
      <c r="G153" s="70"/>
      <c r="H153" s="70"/>
    </row>
    <row r="154" spans="1:8" ht="18.75">
      <c r="A154" s="70"/>
      <c r="B154" s="70"/>
      <c r="C154" s="70"/>
      <c r="D154" s="70"/>
      <c r="E154" s="70"/>
      <c r="F154" s="70"/>
      <c r="G154" s="70"/>
      <c r="H154" s="70"/>
    </row>
    <row r="155" spans="1:8" ht="18.75">
      <c r="A155" s="70"/>
      <c r="B155" s="70"/>
      <c r="C155" s="70"/>
      <c r="D155" s="70"/>
      <c r="E155" s="70"/>
      <c r="F155" s="70"/>
      <c r="G155" s="70"/>
      <c r="H155" s="70"/>
    </row>
    <row r="156" spans="1:8" ht="18.75">
      <c r="A156" s="70"/>
      <c r="B156" s="70"/>
      <c r="C156" s="70"/>
      <c r="D156" s="70"/>
      <c r="E156" s="70"/>
      <c r="F156" s="70"/>
      <c r="G156" s="70"/>
      <c r="H156" s="70"/>
    </row>
    <row r="157" spans="1:8" ht="18.75">
      <c r="A157" s="70"/>
      <c r="B157" s="70"/>
      <c r="C157" s="70"/>
      <c r="D157" s="70"/>
      <c r="E157" s="70"/>
      <c r="F157" s="70"/>
      <c r="G157" s="70"/>
      <c r="H157" s="70"/>
    </row>
    <row r="158" spans="1:8" ht="18.75">
      <c r="A158" s="70"/>
      <c r="B158" s="70"/>
      <c r="C158" s="70"/>
      <c r="D158" s="70"/>
      <c r="E158" s="70"/>
      <c r="F158" s="70"/>
      <c r="G158" s="70"/>
      <c r="H158" s="70"/>
    </row>
    <row r="159" spans="1:8" ht="18.75">
      <c r="A159" s="70"/>
      <c r="B159" s="70"/>
      <c r="C159" s="70"/>
      <c r="D159" s="70"/>
      <c r="E159" s="70"/>
      <c r="F159" s="70"/>
      <c r="G159" s="70"/>
      <c r="H159" s="70"/>
    </row>
    <row r="160" spans="1:8" ht="18.75">
      <c r="A160" s="70"/>
      <c r="B160" s="70"/>
      <c r="C160" s="70"/>
      <c r="D160" s="70"/>
      <c r="E160" s="70"/>
      <c r="F160" s="70"/>
      <c r="G160" s="70"/>
      <c r="H160" s="70"/>
    </row>
    <row r="161" spans="1:8" ht="18.75">
      <c r="A161" s="70"/>
      <c r="B161" s="70"/>
      <c r="C161" s="70"/>
      <c r="D161" s="70"/>
      <c r="E161" s="70"/>
      <c r="F161" s="70"/>
      <c r="G161" s="70"/>
      <c r="H161" s="70"/>
    </row>
    <row r="162" spans="1:8" ht="18.75">
      <c r="A162" s="70"/>
      <c r="B162" s="70"/>
      <c r="C162" s="70"/>
      <c r="D162" s="70"/>
      <c r="E162" s="70"/>
      <c r="F162" s="70"/>
      <c r="G162" s="70"/>
      <c r="H162" s="70"/>
    </row>
    <row r="163" spans="1:8" ht="18.75">
      <c r="A163" s="70"/>
      <c r="B163" s="70"/>
      <c r="C163" s="70"/>
      <c r="D163" s="70"/>
      <c r="E163" s="70"/>
      <c r="F163" s="70"/>
      <c r="G163" s="70"/>
      <c r="H163" s="70"/>
    </row>
    <row r="164" spans="1:8" ht="18.75">
      <c r="A164" s="70"/>
      <c r="B164" s="70"/>
      <c r="C164" s="70"/>
      <c r="D164" s="70"/>
      <c r="E164" s="70"/>
      <c r="F164" s="70"/>
      <c r="G164" s="70"/>
      <c r="H164" s="70"/>
    </row>
    <row r="165" spans="1:8" ht="18.75">
      <c r="A165" s="70"/>
      <c r="B165" s="70"/>
      <c r="C165" s="70"/>
      <c r="D165" s="70"/>
      <c r="E165" s="70"/>
      <c r="F165" s="70"/>
      <c r="G165" s="70"/>
      <c r="H165" s="70"/>
    </row>
    <row r="166" spans="1:8" ht="18.75">
      <c r="A166" s="70"/>
      <c r="B166" s="70"/>
      <c r="C166" s="70"/>
      <c r="D166" s="70"/>
      <c r="E166" s="70"/>
      <c r="F166" s="70"/>
      <c r="G166" s="70"/>
      <c r="H166" s="70"/>
    </row>
    <row r="167" spans="1:8" ht="18.75">
      <c r="A167" s="70"/>
      <c r="B167" s="70"/>
      <c r="C167" s="70"/>
      <c r="D167" s="70"/>
      <c r="E167" s="70"/>
      <c r="F167" s="70"/>
      <c r="G167" s="70"/>
      <c r="H167" s="70"/>
    </row>
    <row r="168" spans="1:8" ht="18.75">
      <c r="A168" s="70"/>
      <c r="B168" s="70"/>
      <c r="C168" s="70"/>
      <c r="D168" s="70"/>
      <c r="E168" s="70"/>
      <c r="F168" s="70"/>
      <c r="G168" s="70"/>
      <c r="H168" s="70"/>
    </row>
    <row r="169" spans="1:8" ht="18.75">
      <c r="A169" s="70"/>
      <c r="B169" s="70"/>
      <c r="C169" s="70"/>
      <c r="D169" s="70"/>
      <c r="E169" s="70"/>
      <c r="F169" s="70"/>
      <c r="G169" s="70"/>
      <c r="H169" s="70"/>
    </row>
    <row r="170" spans="1:8" ht="18.75">
      <c r="A170" s="70"/>
      <c r="B170" s="70"/>
      <c r="C170" s="70"/>
      <c r="D170" s="70"/>
      <c r="E170" s="70"/>
      <c r="F170" s="70"/>
      <c r="G170" s="70"/>
      <c r="H170" s="70"/>
    </row>
    <row r="171" spans="1:8" ht="18.75">
      <c r="A171" s="70"/>
      <c r="B171" s="70"/>
      <c r="C171" s="70"/>
      <c r="D171" s="70"/>
      <c r="E171" s="70"/>
      <c r="F171" s="70"/>
      <c r="G171" s="70"/>
      <c r="H171" s="70"/>
    </row>
    <row r="172" spans="1:8" ht="18.75">
      <c r="A172" s="70"/>
      <c r="B172" s="70"/>
      <c r="C172" s="70"/>
      <c r="D172" s="70"/>
      <c r="E172" s="70"/>
      <c r="F172" s="70"/>
      <c r="G172" s="70"/>
      <c r="H172" s="70"/>
    </row>
    <row r="173" spans="1:8" ht="18.75">
      <c r="A173" s="70"/>
      <c r="B173" s="70"/>
      <c r="C173" s="70"/>
      <c r="D173" s="70"/>
      <c r="E173" s="70"/>
      <c r="F173" s="70"/>
      <c r="G173" s="70"/>
      <c r="H173" s="70"/>
    </row>
    <row r="174" spans="1:8" ht="18.75">
      <c r="A174" s="70"/>
      <c r="B174" s="70"/>
      <c r="C174" s="70"/>
      <c r="D174" s="70"/>
      <c r="E174" s="70"/>
      <c r="F174" s="70"/>
      <c r="G174" s="70"/>
      <c r="H174" s="70"/>
    </row>
    <row r="175" spans="1:8" ht="18.75">
      <c r="A175" s="70"/>
      <c r="B175" s="70"/>
      <c r="C175" s="70"/>
      <c r="D175" s="70"/>
      <c r="E175" s="70"/>
      <c r="F175" s="70"/>
      <c r="G175" s="70"/>
      <c r="H175" s="70"/>
    </row>
    <row r="176" spans="1:8" ht="18.75">
      <c r="A176" s="70"/>
      <c r="B176" s="70"/>
      <c r="C176" s="70"/>
      <c r="D176" s="70"/>
      <c r="E176" s="70"/>
      <c r="F176" s="70"/>
      <c r="G176" s="70"/>
      <c r="H176" s="70"/>
    </row>
    <row r="177" spans="1:8" ht="18.75">
      <c r="A177" s="70"/>
      <c r="B177" s="70"/>
      <c r="C177" s="70"/>
      <c r="D177" s="70"/>
      <c r="E177" s="70"/>
      <c r="F177" s="70"/>
      <c r="G177" s="70"/>
      <c r="H177" s="70"/>
    </row>
    <row r="178" spans="1:8" ht="18.75">
      <c r="A178" s="70"/>
      <c r="B178" s="70"/>
      <c r="C178" s="70"/>
      <c r="D178" s="70"/>
      <c r="E178" s="70"/>
      <c r="F178" s="70"/>
      <c r="G178" s="70"/>
      <c r="H178" s="70"/>
    </row>
    <row r="179" spans="1:8" ht="18.75">
      <c r="A179" s="70"/>
      <c r="B179" s="70"/>
      <c r="C179" s="70"/>
      <c r="D179" s="70"/>
      <c r="E179" s="70"/>
      <c r="F179" s="70"/>
      <c r="G179" s="70"/>
      <c r="H179" s="70"/>
    </row>
    <row r="180" spans="1:8" ht="18.75">
      <c r="A180" s="70"/>
      <c r="B180" s="70"/>
      <c r="C180" s="70"/>
      <c r="D180" s="70"/>
      <c r="E180" s="70"/>
      <c r="F180" s="70"/>
      <c r="G180" s="70"/>
      <c r="H180" s="70"/>
    </row>
    <row r="181" spans="1:8" ht="18.75">
      <c r="A181" s="70"/>
      <c r="B181" s="70"/>
      <c r="C181" s="70"/>
      <c r="D181" s="70"/>
      <c r="E181" s="70"/>
      <c r="F181" s="70"/>
      <c r="G181" s="70"/>
      <c r="H181" s="70"/>
    </row>
    <row r="182" spans="1:8" ht="18.75">
      <c r="A182" s="70"/>
      <c r="B182" s="70"/>
      <c r="C182" s="70"/>
      <c r="D182" s="70"/>
      <c r="E182" s="70"/>
      <c r="F182" s="70"/>
      <c r="G182" s="70"/>
      <c r="H182" s="70"/>
    </row>
    <row r="183" spans="1:8" ht="18.75">
      <c r="A183" s="70"/>
      <c r="B183" s="70"/>
      <c r="C183" s="70"/>
      <c r="D183" s="70"/>
      <c r="E183" s="70"/>
      <c r="F183" s="70"/>
      <c r="G183" s="70"/>
      <c r="H183" s="70"/>
    </row>
    <row r="184" spans="1:8" ht="18.75">
      <c r="A184" s="70"/>
      <c r="B184" s="70"/>
      <c r="C184" s="70"/>
      <c r="D184" s="70"/>
      <c r="E184" s="70"/>
      <c r="F184" s="70"/>
      <c r="G184" s="70"/>
      <c r="H184" s="70"/>
    </row>
    <row r="185" spans="1:8" ht="18.75">
      <c r="A185" s="70"/>
      <c r="B185" s="70"/>
      <c r="C185" s="70"/>
      <c r="D185" s="70"/>
      <c r="E185" s="70"/>
      <c r="F185" s="70"/>
      <c r="G185" s="70"/>
      <c r="H185" s="70"/>
    </row>
    <row r="186" spans="1:8" ht="18.75">
      <c r="A186" s="70"/>
      <c r="B186" s="70"/>
      <c r="C186" s="70"/>
      <c r="D186" s="70"/>
      <c r="E186" s="70"/>
      <c r="F186" s="70"/>
      <c r="G186" s="70"/>
      <c r="H186" s="70"/>
    </row>
    <row r="187" spans="1:8" ht="18.75">
      <c r="A187" s="70"/>
      <c r="B187" s="70"/>
      <c r="C187" s="70"/>
      <c r="D187" s="70"/>
      <c r="E187" s="70"/>
      <c r="F187" s="70"/>
      <c r="G187" s="70"/>
      <c r="H187" s="70"/>
    </row>
    <row r="188" spans="1:8" ht="18.75">
      <c r="A188" s="70"/>
      <c r="B188" s="70"/>
      <c r="C188" s="70"/>
      <c r="D188" s="70"/>
      <c r="E188" s="70"/>
      <c r="F188" s="70"/>
      <c r="G188" s="70"/>
      <c r="H188" s="70"/>
    </row>
    <row r="189" spans="1:8" ht="18.75">
      <c r="A189" s="70"/>
      <c r="B189" s="70"/>
      <c r="C189" s="70"/>
      <c r="D189" s="70"/>
      <c r="E189" s="70"/>
      <c r="F189" s="70"/>
      <c r="G189" s="70"/>
      <c r="H189" s="70"/>
    </row>
    <row r="190" spans="1:8" ht="18.75">
      <c r="A190" s="70"/>
      <c r="B190" s="70"/>
      <c r="C190" s="70"/>
      <c r="D190" s="70"/>
      <c r="E190" s="70"/>
      <c r="F190" s="70"/>
      <c r="G190" s="70"/>
      <c r="H190" s="70"/>
    </row>
    <row r="191" spans="1:8" ht="18.75">
      <c r="A191" s="70"/>
      <c r="B191" s="70"/>
      <c r="C191" s="70"/>
      <c r="D191" s="70"/>
      <c r="E191" s="70"/>
      <c r="F191" s="70"/>
      <c r="G191" s="70"/>
      <c r="H191" s="70"/>
    </row>
    <row r="192" spans="1:8" ht="18.75">
      <c r="A192" s="70"/>
      <c r="B192" s="70"/>
      <c r="C192" s="70"/>
      <c r="D192" s="70"/>
      <c r="E192" s="70"/>
      <c r="F192" s="70"/>
      <c r="G192" s="70"/>
      <c r="H192" s="70"/>
    </row>
    <row r="193" spans="1:8" ht="18.75">
      <c r="A193" s="70"/>
      <c r="B193" s="70"/>
      <c r="C193" s="70"/>
      <c r="D193" s="70"/>
      <c r="E193" s="70"/>
      <c r="F193" s="70"/>
      <c r="G193" s="70"/>
      <c r="H193" s="70"/>
    </row>
    <row r="194" spans="1:8" ht="18.75">
      <c r="A194" s="70"/>
      <c r="B194" s="70"/>
      <c r="C194" s="70"/>
      <c r="D194" s="70"/>
      <c r="E194" s="70"/>
      <c r="F194" s="70"/>
      <c r="G194" s="70"/>
      <c r="H194" s="70"/>
    </row>
    <row r="195" spans="1:8" ht="18.75">
      <c r="A195" s="70"/>
      <c r="B195" s="70"/>
      <c r="C195" s="70"/>
      <c r="D195" s="70"/>
      <c r="E195" s="70"/>
      <c r="F195" s="70"/>
      <c r="G195" s="70"/>
      <c r="H195" s="70"/>
    </row>
    <row r="196" spans="1:8" ht="18.75">
      <c r="A196" s="70"/>
      <c r="B196" s="70"/>
      <c r="C196" s="70"/>
      <c r="D196" s="70"/>
      <c r="E196" s="70"/>
      <c r="F196" s="70"/>
      <c r="G196" s="70"/>
      <c r="H196" s="70"/>
    </row>
    <row r="197" spans="1:8" ht="18.75">
      <c r="A197" s="70"/>
      <c r="B197" s="70"/>
      <c r="C197" s="70"/>
      <c r="D197" s="70"/>
      <c r="E197" s="70"/>
      <c r="F197" s="70"/>
      <c r="G197" s="70"/>
      <c r="H197" s="70"/>
    </row>
    <row r="198" spans="1:8" ht="18.75">
      <c r="A198" s="70"/>
      <c r="B198" s="70"/>
      <c r="C198" s="70"/>
      <c r="D198" s="70"/>
      <c r="E198" s="70"/>
      <c r="F198" s="70"/>
      <c r="G198" s="70"/>
      <c r="H198" s="70"/>
    </row>
    <row r="199" spans="1:8" ht="18.75">
      <c r="A199" s="70"/>
      <c r="B199" s="70"/>
      <c r="C199" s="70"/>
      <c r="D199" s="70"/>
      <c r="E199" s="70"/>
      <c r="F199" s="70"/>
      <c r="G199" s="70"/>
      <c r="H199" s="70"/>
    </row>
    <row r="200" spans="1:8" ht="18.75">
      <c r="A200" s="70"/>
      <c r="B200" s="70"/>
      <c r="C200" s="70"/>
      <c r="D200" s="70"/>
      <c r="E200" s="70"/>
      <c r="F200" s="70"/>
      <c r="G200" s="70"/>
      <c r="H200" s="70"/>
    </row>
    <row r="201" spans="1:8" ht="18.75">
      <c r="A201" s="70"/>
      <c r="B201" s="70"/>
      <c r="C201" s="70"/>
      <c r="D201" s="70"/>
      <c r="E201" s="70"/>
      <c r="F201" s="70"/>
      <c r="G201" s="70"/>
      <c r="H201" s="70"/>
    </row>
    <row r="202" spans="1:8" ht="18.75">
      <c r="A202" s="70"/>
      <c r="B202" s="70"/>
      <c r="C202" s="70"/>
      <c r="D202" s="70"/>
      <c r="E202" s="70"/>
      <c r="F202" s="70"/>
      <c r="G202" s="70"/>
      <c r="H202" s="70"/>
    </row>
    <row r="203" spans="1:8" ht="18.75">
      <c r="A203" s="70"/>
      <c r="B203" s="70"/>
      <c r="C203" s="70"/>
      <c r="D203" s="70"/>
      <c r="E203" s="70"/>
      <c r="F203" s="70"/>
      <c r="G203" s="70"/>
      <c r="H203" s="70"/>
    </row>
    <row r="204" spans="1:8" ht="18.75">
      <c r="A204" s="70"/>
      <c r="B204" s="70"/>
      <c r="C204" s="70"/>
      <c r="D204" s="70"/>
      <c r="E204" s="70"/>
      <c r="F204" s="70"/>
      <c r="G204" s="70"/>
      <c r="H204" s="70"/>
    </row>
    <row r="205" spans="1:8" ht="18.75">
      <c r="A205" s="70"/>
      <c r="B205" s="70"/>
      <c r="C205" s="70"/>
      <c r="D205" s="70"/>
      <c r="E205" s="70"/>
      <c r="F205" s="70"/>
      <c r="G205" s="70"/>
      <c r="H205" s="70"/>
    </row>
    <row r="206" spans="1:8" ht="18.75">
      <c r="A206" s="70"/>
      <c r="B206" s="70"/>
      <c r="C206" s="70"/>
      <c r="D206" s="70"/>
      <c r="E206" s="70"/>
      <c r="F206" s="70"/>
      <c r="G206" s="70"/>
      <c r="H206" s="70"/>
    </row>
    <row r="207" spans="1:8" ht="18.75">
      <c r="A207" s="70"/>
      <c r="B207" s="70"/>
      <c r="C207" s="70"/>
      <c r="D207" s="70"/>
      <c r="E207" s="70"/>
      <c r="F207" s="70"/>
      <c r="G207" s="70"/>
      <c r="H207" s="70"/>
    </row>
    <row r="208" spans="1:8" ht="18.75">
      <c r="A208" s="70"/>
      <c r="B208" s="70"/>
      <c r="C208" s="70"/>
      <c r="D208" s="70"/>
      <c r="E208" s="70"/>
      <c r="F208" s="70"/>
      <c r="G208" s="70"/>
      <c r="H208" s="70"/>
    </row>
    <row r="209" spans="1:8" ht="18.75">
      <c r="A209" s="70"/>
      <c r="B209" s="70"/>
      <c r="C209" s="70"/>
      <c r="D209" s="70"/>
      <c r="E209" s="70"/>
      <c r="F209" s="70"/>
      <c r="G209" s="70"/>
      <c r="H209" s="70"/>
    </row>
    <row r="210" spans="1:8" ht="18.75">
      <c r="A210" s="70"/>
      <c r="B210" s="70"/>
      <c r="C210" s="70"/>
      <c r="D210" s="70"/>
      <c r="E210" s="70"/>
      <c r="F210" s="70"/>
      <c r="G210" s="70"/>
      <c r="H210" s="70"/>
    </row>
    <row r="211" spans="1:8" ht="18.75">
      <c r="A211" s="70"/>
      <c r="B211" s="70"/>
      <c r="C211" s="70"/>
      <c r="D211" s="70"/>
      <c r="E211" s="70"/>
      <c r="F211" s="70"/>
      <c r="G211" s="70"/>
      <c r="H211" s="70"/>
    </row>
    <row r="212" spans="1:8" ht="18.75">
      <c r="A212" s="70"/>
      <c r="B212" s="70"/>
      <c r="C212" s="70"/>
      <c r="D212" s="70"/>
      <c r="E212" s="70"/>
      <c r="F212" s="70"/>
      <c r="G212" s="70"/>
      <c r="H212" s="70"/>
    </row>
    <row r="213" spans="1:8" ht="18.75">
      <c r="A213" s="70"/>
      <c r="B213" s="70"/>
      <c r="C213" s="70"/>
      <c r="D213" s="70"/>
      <c r="E213" s="70"/>
      <c r="F213" s="70"/>
      <c r="G213" s="70"/>
      <c r="H213" s="70"/>
    </row>
    <row r="214" spans="1:8" ht="18.75">
      <c r="A214" s="70"/>
      <c r="B214" s="70"/>
      <c r="C214" s="70"/>
      <c r="D214" s="70"/>
      <c r="E214" s="70"/>
      <c r="F214" s="70"/>
      <c r="G214" s="70"/>
      <c r="H214" s="70"/>
    </row>
    <row r="215" spans="1:8" ht="18.75">
      <c r="A215" s="70"/>
      <c r="B215" s="70"/>
      <c r="C215" s="70"/>
      <c r="D215" s="70"/>
      <c r="E215" s="70"/>
      <c r="F215" s="70"/>
      <c r="G215" s="70"/>
      <c r="H215" s="70"/>
    </row>
    <row r="216" spans="1:8" ht="18.75">
      <c r="A216" s="70"/>
      <c r="B216" s="70"/>
      <c r="C216" s="70"/>
      <c r="D216" s="70"/>
      <c r="E216" s="70"/>
      <c r="F216" s="70"/>
      <c r="G216" s="70"/>
      <c r="H216" s="70"/>
    </row>
    <row r="217" spans="1:8" ht="18.75">
      <c r="A217" s="70"/>
      <c r="B217" s="70"/>
      <c r="C217" s="70"/>
      <c r="D217" s="70"/>
      <c r="E217" s="70"/>
      <c r="F217" s="70"/>
      <c r="G217" s="70"/>
      <c r="H217" s="70"/>
    </row>
    <row r="218" spans="1:8" ht="18.75">
      <c r="A218" s="70"/>
      <c r="B218" s="70"/>
      <c r="C218" s="70"/>
      <c r="D218" s="70"/>
      <c r="E218" s="70"/>
      <c r="F218" s="70"/>
      <c r="G218" s="70"/>
      <c r="H218" s="70"/>
    </row>
    <row r="219" spans="1:8" ht="18.75">
      <c r="A219" s="70"/>
      <c r="B219" s="70"/>
      <c r="C219" s="70"/>
      <c r="D219" s="70"/>
      <c r="E219" s="70"/>
      <c r="F219" s="70"/>
      <c r="G219" s="70"/>
      <c r="H219" s="70"/>
    </row>
    <row r="220" spans="1:8" ht="18.75">
      <c r="A220" s="70"/>
      <c r="B220" s="70"/>
      <c r="C220" s="70"/>
      <c r="D220" s="70"/>
      <c r="E220" s="70"/>
      <c r="F220" s="70"/>
      <c r="G220" s="70"/>
      <c r="H220" s="70"/>
    </row>
    <row r="221" spans="1:8" ht="18.75">
      <c r="A221" s="70"/>
      <c r="B221" s="70"/>
      <c r="C221" s="70"/>
      <c r="D221" s="70"/>
      <c r="E221" s="70"/>
      <c r="F221" s="70"/>
      <c r="G221" s="70"/>
      <c r="H221" s="70"/>
    </row>
    <row r="222" spans="1:8" ht="18.75">
      <c r="A222" s="70"/>
      <c r="B222" s="70"/>
      <c r="C222" s="70"/>
      <c r="D222" s="70"/>
      <c r="E222" s="70"/>
      <c r="F222" s="70"/>
      <c r="G222" s="70"/>
      <c r="H222" s="70"/>
    </row>
    <row r="223" spans="1:8" ht="18.75">
      <c r="A223" s="70"/>
      <c r="B223" s="70"/>
      <c r="C223" s="70"/>
      <c r="D223" s="70"/>
      <c r="E223" s="70"/>
      <c r="F223" s="70"/>
      <c r="G223" s="70"/>
      <c r="H223" s="70"/>
    </row>
    <row r="224" spans="1:8" ht="18.75">
      <c r="A224" s="70"/>
      <c r="B224" s="70"/>
      <c r="C224" s="70"/>
      <c r="D224" s="70"/>
      <c r="E224" s="70"/>
      <c r="F224" s="70"/>
      <c r="G224" s="70"/>
      <c r="H224" s="70"/>
    </row>
    <row r="225" spans="1:8" ht="18.75">
      <c r="A225" s="70"/>
      <c r="B225" s="70"/>
      <c r="C225" s="70"/>
      <c r="D225" s="70"/>
      <c r="E225" s="70"/>
      <c r="F225" s="70"/>
      <c r="G225" s="70"/>
      <c r="H225" s="70"/>
    </row>
    <row r="226" spans="1:8" ht="18.75">
      <c r="A226" s="70"/>
      <c r="B226" s="70"/>
      <c r="C226" s="70"/>
      <c r="D226" s="70"/>
      <c r="E226" s="70"/>
      <c r="F226" s="70"/>
      <c r="G226" s="70"/>
      <c r="H226" s="70"/>
    </row>
    <row r="227" spans="1:8" ht="18.75">
      <c r="A227" s="70"/>
      <c r="B227" s="70"/>
      <c r="C227" s="70"/>
      <c r="D227" s="70"/>
      <c r="E227" s="70"/>
      <c r="F227" s="70"/>
      <c r="G227" s="70"/>
      <c r="H227" s="70"/>
    </row>
    <row r="228" spans="1:8" ht="18.75">
      <c r="A228" s="70"/>
      <c r="B228" s="70"/>
      <c r="C228" s="70"/>
      <c r="D228" s="70"/>
      <c r="E228" s="70"/>
      <c r="F228" s="70"/>
      <c r="G228" s="70"/>
      <c r="H228" s="70"/>
    </row>
    <row r="229" spans="1:8" ht="18.75">
      <c r="A229" s="70"/>
      <c r="B229" s="70"/>
      <c r="C229" s="70"/>
      <c r="D229" s="70"/>
      <c r="E229" s="70"/>
      <c r="F229" s="70"/>
      <c r="G229" s="70"/>
      <c r="H229" s="70"/>
    </row>
    <row r="230" spans="1:8" ht="18.75">
      <c r="A230" s="70"/>
      <c r="B230" s="70"/>
      <c r="C230" s="70"/>
      <c r="D230" s="70"/>
      <c r="E230" s="70"/>
      <c r="F230" s="70"/>
      <c r="G230" s="70"/>
      <c r="H230" s="70"/>
    </row>
    <row r="231" spans="1:8" ht="18.75">
      <c r="A231" s="70"/>
      <c r="B231" s="70"/>
      <c r="C231" s="70"/>
      <c r="D231" s="70"/>
      <c r="E231" s="70"/>
      <c r="F231" s="70"/>
      <c r="G231" s="70"/>
      <c r="H231" s="70"/>
    </row>
    <row r="232" spans="1:8" ht="18.75">
      <c r="A232" s="70"/>
      <c r="B232" s="70"/>
      <c r="C232" s="70"/>
      <c r="D232" s="70"/>
      <c r="E232" s="70"/>
      <c r="F232" s="70"/>
      <c r="G232" s="70"/>
      <c r="H232" s="70"/>
    </row>
    <row r="233" spans="1:8" ht="18.75">
      <c r="A233" s="70"/>
      <c r="B233" s="70"/>
      <c r="C233" s="70"/>
      <c r="D233" s="70"/>
      <c r="E233" s="70"/>
      <c r="F233" s="70"/>
      <c r="G233" s="70"/>
      <c r="H233" s="70"/>
    </row>
    <row r="234" spans="1:8" ht="18.75">
      <c r="A234" s="70"/>
      <c r="B234" s="70"/>
      <c r="C234" s="70"/>
      <c r="D234" s="70"/>
      <c r="E234" s="70"/>
      <c r="F234" s="70"/>
      <c r="G234" s="70"/>
      <c r="H234" s="70"/>
    </row>
    <row r="235" spans="1:8" ht="18.75">
      <c r="A235" s="70"/>
      <c r="B235" s="70"/>
      <c r="C235" s="70"/>
      <c r="D235" s="70"/>
      <c r="E235" s="70"/>
      <c r="F235" s="70"/>
      <c r="G235" s="70"/>
      <c r="H235" s="70"/>
    </row>
    <row r="236" spans="1:8" ht="18.75">
      <c r="A236" s="70"/>
      <c r="B236" s="70"/>
      <c r="C236" s="70"/>
      <c r="D236" s="70"/>
      <c r="E236" s="70"/>
      <c r="F236" s="70"/>
      <c r="G236" s="70"/>
      <c r="H236" s="70"/>
    </row>
    <row r="237" spans="1:8" ht="18.75">
      <c r="A237" s="70"/>
      <c r="B237" s="70"/>
      <c r="C237" s="70"/>
      <c r="D237" s="70"/>
      <c r="E237" s="70"/>
      <c r="F237" s="70"/>
      <c r="G237" s="70"/>
      <c r="H237" s="70"/>
    </row>
    <row r="238" spans="1:8" ht="18.75">
      <c r="A238" s="70"/>
      <c r="B238" s="70"/>
      <c r="C238" s="70"/>
      <c r="D238" s="70"/>
      <c r="E238" s="70"/>
      <c r="F238" s="70"/>
      <c r="G238" s="70"/>
      <c r="H238" s="70"/>
    </row>
    <row r="239" spans="1:8" ht="18.75">
      <c r="A239" s="70"/>
      <c r="B239" s="70"/>
      <c r="C239" s="70"/>
      <c r="D239" s="70"/>
      <c r="E239" s="70"/>
      <c r="F239" s="70"/>
      <c r="G239" s="70"/>
      <c r="H239" s="70"/>
    </row>
    <row r="240" spans="1:8" ht="18.75">
      <c r="A240" s="70"/>
      <c r="B240" s="70"/>
      <c r="C240" s="70"/>
      <c r="D240" s="70"/>
      <c r="E240" s="70"/>
      <c r="F240" s="70"/>
      <c r="G240" s="70"/>
      <c r="H240" s="70"/>
    </row>
    <row r="241" spans="1:8" ht="18.75">
      <c r="A241" s="70"/>
      <c r="B241" s="70"/>
      <c r="C241" s="70"/>
      <c r="D241" s="70"/>
      <c r="E241" s="70"/>
      <c r="F241" s="70"/>
      <c r="G241" s="70"/>
      <c r="H241" s="70"/>
    </row>
    <row r="242" spans="1:8" ht="18.75">
      <c r="A242" s="70"/>
      <c r="B242" s="70"/>
      <c r="C242" s="70"/>
      <c r="D242" s="70"/>
      <c r="E242" s="70"/>
      <c r="F242" s="70"/>
      <c r="G242" s="70"/>
      <c r="H242" s="70"/>
    </row>
    <row r="243" spans="1:8" ht="18.75">
      <c r="A243" s="70"/>
      <c r="B243" s="70"/>
      <c r="C243" s="70"/>
      <c r="D243" s="70"/>
      <c r="E243" s="70"/>
      <c r="F243" s="70"/>
      <c r="G243" s="70"/>
      <c r="H243" s="70"/>
    </row>
    <row r="244" spans="1:8" ht="18.75">
      <c r="A244" s="70"/>
      <c r="B244" s="70"/>
      <c r="C244" s="70"/>
      <c r="D244" s="70"/>
      <c r="E244" s="70"/>
      <c r="F244" s="70"/>
      <c r="G244" s="70"/>
      <c r="H244" s="70"/>
    </row>
    <row r="245" spans="1:8" ht="18.75">
      <c r="A245" s="70"/>
      <c r="B245" s="70"/>
      <c r="C245" s="70"/>
      <c r="D245" s="70"/>
      <c r="E245" s="70"/>
      <c r="F245" s="70"/>
      <c r="G245" s="70"/>
      <c r="H245" s="70"/>
    </row>
    <row r="246" spans="1:8" ht="18.75">
      <c r="A246" s="70"/>
      <c r="B246" s="70"/>
      <c r="C246" s="70"/>
      <c r="D246" s="70"/>
      <c r="E246" s="70"/>
      <c r="F246" s="70"/>
      <c r="G246" s="70"/>
      <c r="H246" s="70"/>
    </row>
    <row r="247" spans="1:8" ht="18.75">
      <c r="A247" s="70"/>
      <c r="B247" s="70"/>
      <c r="C247" s="70"/>
      <c r="D247" s="70"/>
      <c r="E247" s="70"/>
      <c r="F247" s="70"/>
      <c r="G247" s="70"/>
      <c r="H247" s="70"/>
    </row>
    <row r="248" spans="1:8" ht="18.75">
      <c r="A248" s="70"/>
      <c r="B248" s="70"/>
      <c r="C248" s="70"/>
      <c r="D248" s="70"/>
      <c r="E248" s="70"/>
      <c r="F248" s="70"/>
      <c r="G248" s="70"/>
      <c r="H248" s="70"/>
    </row>
    <row r="249" spans="1:8" ht="18.75">
      <c r="A249" s="70"/>
      <c r="B249" s="70"/>
      <c r="C249" s="70"/>
      <c r="D249" s="70"/>
      <c r="E249" s="70"/>
      <c r="F249" s="70"/>
      <c r="G249" s="70"/>
      <c r="H249" s="70"/>
    </row>
    <row r="250" spans="1:8" ht="18.75">
      <c r="A250" s="70"/>
      <c r="B250" s="70"/>
      <c r="C250" s="70"/>
      <c r="D250" s="70"/>
      <c r="E250" s="70"/>
      <c r="F250" s="70"/>
      <c r="G250" s="70"/>
      <c r="H250" s="70"/>
    </row>
    <row r="251" spans="1:8" ht="18.75">
      <c r="A251" s="70"/>
      <c r="B251" s="70"/>
      <c r="C251" s="70"/>
      <c r="D251" s="70"/>
      <c r="E251" s="70"/>
      <c r="F251" s="70"/>
      <c r="G251" s="70"/>
      <c r="H251" s="70"/>
    </row>
    <row r="252" spans="1:8" ht="18.75">
      <c r="A252" s="70"/>
      <c r="B252" s="70"/>
      <c r="C252" s="70"/>
      <c r="D252" s="70"/>
      <c r="E252" s="70"/>
      <c r="F252" s="70"/>
      <c r="G252" s="70"/>
      <c r="H252" s="70"/>
    </row>
    <row r="253" spans="1:8" ht="18.75">
      <c r="A253" s="70"/>
      <c r="B253" s="70"/>
      <c r="C253" s="70"/>
      <c r="D253" s="70"/>
      <c r="E253" s="70"/>
      <c r="F253" s="70"/>
      <c r="G253" s="70"/>
      <c r="H253" s="70"/>
    </row>
    <row r="254" spans="1:8" ht="18.75">
      <c r="A254" s="70"/>
      <c r="B254" s="70"/>
      <c r="C254" s="70"/>
      <c r="D254" s="70"/>
      <c r="E254" s="70"/>
      <c r="F254" s="70"/>
      <c r="G254" s="70"/>
      <c r="H254" s="70"/>
    </row>
    <row r="255" spans="1:8" ht="18.75">
      <c r="A255" s="70"/>
      <c r="B255" s="70"/>
      <c r="C255" s="70"/>
      <c r="D255" s="70"/>
      <c r="E255" s="70"/>
      <c r="F255" s="70"/>
      <c r="G255" s="70"/>
      <c r="H255" s="70"/>
    </row>
    <row r="256" spans="1:8" ht="18.75">
      <c r="A256" s="70"/>
      <c r="B256" s="70"/>
      <c r="C256" s="70"/>
      <c r="D256" s="70"/>
      <c r="E256" s="70"/>
      <c r="F256" s="70"/>
      <c r="G256" s="70"/>
      <c r="H256" s="70"/>
    </row>
    <row r="257" spans="1:8" ht="18.75">
      <c r="A257" s="70"/>
      <c r="B257" s="70"/>
      <c r="C257" s="70"/>
      <c r="D257" s="70"/>
      <c r="E257" s="70"/>
      <c r="F257" s="70"/>
      <c r="G257" s="70"/>
      <c r="H257" s="70"/>
    </row>
    <row r="258" spans="1:8" ht="18.75">
      <c r="A258" s="70"/>
      <c r="B258" s="70"/>
      <c r="C258" s="70"/>
      <c r="D258" s="70"/>
      <c r="E258" s="70"/>
      <c r="F258" s="70"/>
      <c r="G258" s="70"/>
      <c r="H258" s="70"/>
    </row>
    <row r="259" spans="1:8" ht="18.75">
      <c r="A259" s="70"/>
      <c r="B259" s="70"/>
      <c r="C259" s="70"/>
      <c r="D259" s="70"/>
      <c r="E259" s="70"/>
      <c r="F259" s="70"/>
      <c r="G259" s="70"/>
      <c r="H259" s="70"/>
    </row>
    <row r="260" spans="1:8" ht="18.75">
      <c r="A260" s="70"/>
      <c r="B260" s="70"/>
      <c r="C260" s="70"/>
      <c r="D260" s="70"/>
      <c r="E260" s="70"/>
      <c r="F260" s="70"/>
      <c r="G260" s="70"/>
      <c r="H260" s="70"/>
    </row>
    <row r="261" spans="1:8" ht="18.75">
      <c r="A261" s="70"/>
      <c r="B261" s="70"/>
      <c r="C261" s="70"/>
      <c r="D261" s="70"/>
      <c r="E261" s="70"/>
      <c r="F261" s="70"/>
      <c r="G261" s="70"/>
      <c r="H261" s="70"/>
    </row>
    <row r="262" spans="1:8" ht="18.75">
      <c r="A262" s="70"/>
      <c r="B262" s="70"/>
      <c r="C262" s="70"/>
      <c r="D262" s="70"/>
      <c r="E262" s="70"/>
      <c r="F262" s="70"/>
      <c r="G262" s="70"/>
      <c r="H262" s="70"/>
    </row>
    <row r="263" spans="1:8" ht="18.75">
      <c r="A263" s="70"/>
      <c r="B263" s="70"/>
      <c r="C263" s="70"/>
      <c r="D263" s="70"/>
      <c r="E263" s="70"/>
      <c r="F263" s="70"/>
      <c r="G263" s="70"/>
      <c r="H263" s="70"/>
    </row>
    <row r="264" spans="1:8" ht="18.75">
      <c r="A264" s="70"/>
      <c r="B264" s="70"/>
      <c r="C264" s="70"/>
      <c r="D264" s="70"/>
      <c r="E264" s="70"/>
      <c r="F264" s="70"/>
      <c r="G264" s="70"/>
      <c r="H264" s="70"/>
    </row>
    <row r="265" spans="1:8" ht="18.75">
      <c r="A265" s="70"/>
      <c r="B265" s="70"/>
      <c r="C265" s="70"/>
      <c r="D265" s="70"/>
      <c r="E265" s="70"/>
      <c r="F265" s="70"/>
      <c r="G265" s="70"/>
      <c r="H265" s="70"/>
    </row>
  </sheetData>
  <sheetProtection/>
  <mergeCells count="18">
    <mergeCell ref="C48:D48"/>
    <mergeCell ref="A1:G2"/>
    <mergeCell ref="A3:G3"/>
    <mergeCell ref="A4:H5"/>
    <mergeCell ref="F9:F11"/>
    <mergeCell ref="G9:G11"/>
    <mergeCell ref="A47:B47"/>
    <mergeCell ref="A48:B48"/>
    <mergeCell ref="A49:G49"/>
    <mergeCell ref="A50:B50"/>
    <mergeCell ref="A51:B51"/>
    <mergeCell ref="J9:Q12"/>
    <mergeCell ref="R9:X12"/>
    <mergeCell ref="A9:A11"/>
    <mergeCell ref="B9:B11"/>
    <mergeCell ref="C9:D10"/>
    <mergeCell ref="E9:E11"/>
    <mergeCell ref="C47:D4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4" r:id="rId1"/>
  <rowBreaks count="1" manualBreakCount="1">
    <brk id="3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S84"/>
  <sheetViews>
    <sheetView view="pageBreakPreview" zoomScale="75" zoomScaleSheetLayoutView="75" zoomScalePageLayoutView="0" workbookViewId="0" topLeftCell="A30">
      <selection activeCell="F37" sqref="F37"/>
    </sheetView>
  </sheetViews>
  <sheetFormatPr defaultColWidth="9.00390625" defaultRowHeight="12.75"/>
  <cols>
    <col min="1" max="1" width="9.25390625" style="0" bestFit="1" customWidth="1"/>
    <col min="2" max="2" width="66.00390625" style="0" customWidth="1"/>
    <col min="3" max="3" width="11.125" style="0" customWidth="1"/>
    <col min="4" max="4" width="11.00390625" style="0" customWidth="1"/>
    <col min="5" max="5" width="13.25390625" style="0" customWidth="1"/>
    <col min="6" max="6" width="16.125" style="0" customWidth="1"/>
    <col min="7" max="7" width="13.625" style="0" customWidth="1"/>
    <col min="8" max="12" width="9.25390625" style="0" hidden="1" customWidth="1"/>
    <col min="13" max="41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38.25" customHeight="1">
      <c r="A3" s="182" t="s">
        <v>37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4101.4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184" t="s">
        <v>8</v>
      </c>
      <c r="B9" s="184" t="s">
        <v>6</v>
      </c>
      <c r="C9" s="185" t="s">
        <v>32</v>
      </c>
      <c r="D9" s="186"/>
      <c r="E9" s="189" t="s">
        <v>99</v>
      </c>
      <c r="F9" s="178" t="s">
        <v>74</v>
      </c>
      <c r="G9" s="178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67.5" customHeight="1">
      <c r="A10" s="184"/>
      <c r="B10" s="184"/>
      <c r="C10" s="187"/>
      <c r="D10" s="188"/>
      <c r="E10" s="190"/>
      <c r="F10" s="178"/>
      <c r="G10" s="178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88.5" customHeight="1">
      <c r="A11" s="184"/>
      <c r="B11" s="184"/>
      <c r="C11" s="97" t="s">
        <v>107</v>
      </c>
      <c r="D11" s="97" t="s">
        <v>106</v>
      </c>
      <c r="E11" s="191"/>
      <c r="F11" s="178"/>
      <c r="G11" s="178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 customHeight="1">
      <c r="A12" s="13" t="s">
        <v>12</v>
      </c>
      <c r="B12" s="14" t="s">
        <v>20</v>
      </c>
      <c r="C12" s="33"/>
      <c r="D12" s="33"/>
      <c r="E12" s="33"/>
      <c r="F12" s="33"/>
      <c r="G12" s="1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45" ht="18.75">
      <c r="A13" s="15" t="s">
        <v>13</v>
      </c>
      <c r="B13" s="14" t="s">
        <v>10</v>
      </c>
      <c r="C13" s="34">
        <v>1.09</v>
      </c>
      <c r="D13" s="34">
        <v>1.14</v>
      </c>
      <c r="E13" s="34">
        <f aca="true" t="shared" si="0" ref="E13:E18">AP13*AS13</f>
        <v>54876.73199999999</v>
      </c>
      <c r="F13" s="34">
        <f>E13</f>
        <v>54876.73199999999</v>
      </c>
      <c r="G13" s="16">
        <f aca="true" t="shared" si="1" ref="G13:G18">AQ13*AP13*12</f>
        <v>56107.151999999995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4101.4</v>
      </c>
      <c r="K13">
        <v>6</v>
      </c>
      <c r="L13">
        <v>2</v>
      </c>
      <c r="M13">
        <v>4</v>
      </c>
      <c r="N13" s="20">
        <f aca="true" t="shared" si="4" ref="N13:N18">C13*J13*K13</f>
        <v>26823.156</v>
      </c>
      <c r="O13" s="20" t="e">
        <f>J13*#REF!*L13</f>
        <v>#REF!</v>
      </c>
      <c r="P13" s="20">
        <f aca="true" t="shared" si="5" ref="P13:P18">D13*J13*M13</f>
        <v>18702.384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25838.82</v>
      </c>
      <c r="W13">
        <f aca="true" t="shared" si="8" ref="W13:W18">U13*S13*J13</f>
        <v>26823.156000000003</v>
      </c>
      <c r="X13">
        <f aca="true" t="shared" si="9" ref="X13:X18">SUM(V13:W13)</f>
        <v>52661.976</v>
      </c>
      <c r="AP13">
        <f>C7</f>
        <v>4101.4</v>
      </c>
      <c r="AQ13" s="34">
        <v>1.14</v>
      </c>
      <c r="AR13" s="22">
        <f aca="true" t="shared" si="10" ref="AR13:AR18">C13+D13</f>
        <v>2.23</v>
      </c>
      <c r="AS13">
        <f aca="true" t="shared" si="11" ref="AS13:AS18">AR13*6</f>
        <v>13.379999999999999</v>
      </c>
    </row>
    <row r="14" spans="1:45" ht="20.25" customHeight="1">
      <c r="A14" s="15" t="s">
        <v>14</v>
      </c>
      <c r="B14" s="14" t="s">
        <v>15</v>
      </c>
      <c r="C14" s="34">
        <v>1.39</v>
      </c>
      <c r="D14" s="34">
        <v>1.46</v>
      </c>
      <c r="E14" s="34">
        <f t="shared" si="0"/>
        <v>70133.93999999999</v>
      </c>
      <c r="F14" s="34">
        <f>E14</f>
        <v>70133.93999999999</v>
      </c>
      <c r="G14" s="16">
        <f t="shared" si="1"/>
        <v>71856.52799999999</v>
      </c>
      <c r="H14" s="17">
        <f t="shared" si="2"/>
        <v>1.4594110115189</v>
      </c>
      <c r="I14" s="18">
        <f t="shared" si="3"/>
        <v>1.5572983354607999</v>
      </c>
      <c r="J14" s="19">
        <f>J13</f>
        <v>4101.4</v>
      </c>
      <c r="K14">
        <v>6</v>
      </c>
      <c r="L14">
        <v>2</v>
      </c>
      <c r="M14">
        <v>4</v>
      </c>
      <c r="N14" s="20">
        <f t="shared" si="4"/>
        <v>34205.67599999999</v>
      </c>
      <c r="O14" s="20" t="e">
        <f>J14*#REF!*L14</f>
        <v>#REF!</v>
      </c>
      <c r="P14" s="20">
        <f t="shared" si="5"/>
        <v>23952.175999999996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32729.172</v>
      </c>
      <c r="W14">
        <f t="shared" si="8"/>
        <v>34205.676</v>
      </c>
      <c r="X14">
        <f t="shared" si="9"/>
        <v>66934.848</v>
      </c>
      <c r="AP14">
        <f>AP13</f>
        <v>4101.4</v>
      </c>
      <c r="AQ14" s="34">
        <v>1.46</v>
      </c>
      <c r="AR14" s="22">
        <f t="shared" si="10"/>
        <v>2.8499999999999996</v>
      </c>
      <c r="AS14">
        <f t="shared" si="11"/>
        <v>17.099999999999998</v>
      </c>
    </row>
    <row r="15" spans="1:45" ht="18.75">
      <c r="A15" s="15" t="s">
        <v>16</v>
      </c>
      <c r="B15" s="14" t="s">
        <v>7</v>
      </c>
      <c r="C15" s="34"/>
      <c r="D15" s="34"/>
      <c r="E15" s="34"/>
      <c r="F15" s="34"/>
      <c r="G15" s="16"/>
      <c r="H15" s="17">
        <f t="shared" si="2"/>
        <v>0</v>
      </c>
      <c r="I15" s="18">
        <f t="shared" si="3"/>
        <v>0</v>
      </c>
      <c r="J15" s="19">
        <f>J14</f>
        <v>4101.4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3199.092</v>
      </c>
      <c r="W15">
        <f t="shared" si="8"/>
        <v>0</v>
      </c>
      <c r="X15">
        <f t="shared" si="9"/>
        <v>3199.092</v>
      </c>
      <c r="AP15">
        <f>AP14</f>
        <v>4101.4</v>
      </c>
      <c r="AQ15" s="34">
        <v>0</v>
      </c>
      <c r="AR15" s="22">
        <f t="shared" si="10"/>
        <v>0</v>
      </c>
      <c r="AS15">
        <f t="shared" si="11"/>
        <v>0</v>
      </c>
    </row>
    <row r="16" spans="1:45" ht="18.75">
      <c r="A16" s="15" t="s">
        <v>21</v>
      </c>
      <c r="B16" s="14" t="s">
        <v>11</v>
      </c>
      <c r="C16" s="34">
        <v>0.82</v>
      </c>
      <c r="D16" s="34">
        <v>0.58</v>
      </c>
      <c r="E16" s="34">
        <f t="shared" si="0"/>
        <v>34451.75999999999</v>
      </c>
      <c r="F16" s="34">
        <f>E16</f>
        <v>34451.75999999999</v>
      </c>
      <c r="G16" s="16">
        <f t="shared" si="1"/>
        <v>28545.74399999999</v>
      </c>
      <c r="H16" s="17">
        <f t="shared" si="2"/>
        <v>0.8609475031982</v>
      </c>
      <c r="I16" s="18">
        <f t="shared" si="3"/>
        <v>0.9186939820703999</v>
      </c>
      <c r="J16" s="19">
        <f>J15</f>
        <v>4101.4</v>
      </c>
      <c r="K16">
        <v>6</v>
      </c>
      <c r="L16">
        <v>2</v>
      </c>
      <c r="M16">
        <v>4</v>
      </c>
      <c r="N16" s="20">
        <f t="shared" si="4"/>
        <v>20178.888</v>
      </c>
      <c r="O16" s="20" t="e">
        <f>J16*#REF!*L16</f>
        <v>#REF!</v>
      </c>
      <c r="P16" s="20">
        <f t="shared" si="5"/>
        <v>9515.247999999998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19440.636</v>
      </c>
      <c r="W16">
        <f t="shared" si="8"/>
        <v>20178.888</v>
      </c>
      <c r="X16">
        <f t="shared" si="9"/>
        <v>39619.524</v>
      </c>
      <c r="AP16">
        <f>AP15</f>
        <v>4101.4</v>
      </c>
      <c r="AQ16" s="34">
        <v>0.58</v>
      </c>
      <c r="AR16" s="22">
        <f t="shared" si="10"/>
        <v>1.4</v>
      </c>
      <c r="AS16">
        <f t="shared" si="11"/>
        <v>8.399999999999999</v>
      </c>
    </row>
    <row r="17" spans="1:45" ht="18.75">
      <c r="A17" s="15" t="s">
        <v>22</v>
      </c>
      <c r="B17" s="14" t="s">
        <v>19</v>
      </c>
      <c r="C17" s="34">
        <v>1.24</v>
      </c>
      <c r="D17" s="34">
        <v>1.24</v>
      </c>
      <c r="E17" s="34">
        <f t="shared" si="0"/>
        <v>61028.83199999999</v>
      </c>
      <c r="F17" s="34">
        <f>E17</f>
        <v>61028.83199999999</v>
      </c>
      <c r="G17" s="16">
        <f t="shared" si="1"/>
        <v>61028.831999999995</v>
      </c>
      <c r="H17" s="17">
        <f t="shared" si="2"/>
        <v>1.3019206145924</v>
      </c>
      <c r="I17" s="18">
        <f t="shared" si="3"/>
        <v>1.3892445582528</v>
      </c>
      <c r="J17" s="19">
        <f>J16</f>
        <v>4101.4</v>
      </c>
      <c r="K17">
        <v>6</v>
      </c>
      <c r="L17">
        <v>2</v>
      </c>
      <c r="M17">
        <v>4</v>
      </c>
      <c r="N17" s="20">
        <f t="shared" si="4"/>
        <v>30514.415999999997</v>
      </c>
      <c r="O17" s="20" t="e">
        <f>J17*#REF!*L17</f>
        <v>#REF!</v>
      </c>
      <c r="P17" s="20">
        <f t="shared" si="5"/>
        <v>20342.944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30514.415999999997</v>
      </c>
      <c r="W17">
        <f t="shared" si="8"/>
        <v>30514.415999999994</v>
      </c>
      <c r="X17">
        <f t="shared" si="9"/>
        <v>61028.831999999995</v>
      </c>
      <c r="AP17">
        <f>AP16</f>
        <v>4101.4</v>
      </c>
      <c r="AQ17" s="34">
        <v>1.24</v>
      </c>
      <c r="AR17" s="22">
        <f t="shared" si="10"/>
        <v>2.48</v>
      </c>
      <c r="AS17">
        <f t="shared" si="11"/>
        <v>14.879999999999999</v>
      </c>
    </row>
    <row r="18" spans="1:45" ht="59.25" customHeight="1">
      <c r="A18" s="15" t="s">
        <v>23</v>
      </c>
      <c r="B18" s="14" t="s">
        <v>24</v>
      </c>
      <c r="C18" s="34">
        <v>4.47</v>
      </c>
      <c r="D18" s="34">
        <v>5.18</v>
      </c>
      <c r="E18" s="34">
        <f t="shared" si="0"/>
        <v>237471.05999999994</v>
      </c>
      <c r="F18" s="98">
        <f>F20+F21+F22+F24+F25+F26+F28+F29+F31+F32+F33+F35+F36+F38+F39+F41+F42+F44+F45+F46+F48+F49+F50+F52+F53+F54+F56+F57+F58+F60+F61</f>
        <v>283312.51</v>
      </c>
      <c r="G18" s="16">
        <f t="shared" si="1"/>
        <v>254943.02399999998</v>
      </c>
      <c r="H18" s="17">
        <f t="shared" si="2"/>
        <v>4.6932138284097</v>
      </c>
      <c r="I18" s="18">
        <f t="shared" si="3"/>
        <v>5.008002560798399</v>
      </c>
      <c r="J18" s="19">
        <f>J17</f>
        <v>4101.4</v>
      </c>
      <c r="K18">
        <v>6</v>
      </c>
      <c r="L18">
        <v>2</v>
      </c>
      <c r="M18">
        <v>4</v>
      </c>
      <c r="N18" s="20">
        <f t="shared" si="4"/>
        <v>109999.54799999998</v>
      </c>
      <c r="O18" s="20" t="e">
        <f>J18*#REF!*L18</f>
        <v>#REF!</v>
      </c>
      <c r="P18" s="20">
        <f t="shared" si="5"/>
        <v>84981.00799999999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103601.36399999997</v>
      </c>
      <c r="W18">
        <f t="shared" si="8"/>
        <v>113690.80799999999</v>
      </c>
      <c r="X18">
        <f t="shared" si="9"/>
        <v>217292.17199999996</v>
      </c>
      <c r="AP18">
        <f>AP17</f>
        <v>4101.4</v>
      </c>
      <c r="AQ18" s="34">
        <v>5.18</v>
      </c>
      <c r="AR18" s="22">
        <f t="shared" si="10"/>
        <v>9.649999999999999</v>
      </c>
      <c r="AS18">
        <f t="shared" si="11"/>
        <v>57.89999999999999</v>
      </c>
    </row>
    <row r="19" spans="1:19" ht="18.75">
      <c r="A19" s="48"/>
      <c r="B19" s="34" t="s">
        <v>75</v>
      </c>
      <c r="C19" s="34"/>
      <c r="D19" s="34"/>
      <c r="E19" s="42"/>
      <c r="F19" s="77"/>
      <c r="G19" s="42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75">
      <c r="A20" s="104"/>
      <c r="B20" s="105" t="s">
        <v>191</v>
      </c>
      <c r="C20" s="98"/>
      <c r="D20" s="98"/>
      <c r="E20" s="99"/>
      <c r="F20" s="99">
        <v>25438.34</v>
      </c>
      <c r="G20" s="99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104"/>
      <c r="B21" s="105" t="s">
        <v>192</v>
      </c>
      <c r="C21" s="98"/>
      <c r="D21" s="98"/>
      <c r="E21" s="99"/>
      <c r="F21" s="99">
        <v>4656.36</v>
      </c>
      <c r="G21" s="99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37.5">
      <c r="A22" s="104"/>
      <c r="B22" s="105" t="s">
        <v>193</v>
      </c>
      <c r="C22" s="98"/>
      <c r="D22" s="98"/>
      <c r="E22" s="99"/>
      <c r="F22" s="99">
        <v>961.48</v>
      </c>
      <c r="G22" s="99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104"/>
      <c r="B23" s="106" t="s">
        <v>88</v>
      </c>
      <c r="C23" s="98"/>
      <c r="D23" s="98"/>
      <c r="E23" s="99"/>
      <c r="F23" s="99"/>
      <c r="G23" s="99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75.75" customHeight="1">
      <c r="A24" s="104"/>
      <c r="B24" s="105" t="s">
        <v>194</v>
      </c>
      <c r="C24" s="98"/>
      <c r="D24" s="98"/>
      <c r="E24" s="99"/>
      <c r="F24" s="99">
        <v>46855.63</v>
      </c>
      <c r="G24" s="99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24" customHeight="1">
      <c r="A25" s="104"/>
      <c r="B25" s="105" t="s">
        <v>195</v>
      </c>
      <c r="C25" s="98"/>
      <c r="D25" s="98"/>
      <c r="E25" s="99"/>
      <c r="F25" s="99">
        <v>2376.43</v>
      </c>
      <c r="G25" s="99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41.25" customHeight="1">
      <c r="A26" s="104"/>
      <c r="B26" s="105" t="s">
        <v>196</v>
      </c>
      <c r="C26" s="98"/>
      <c r="D26" s="98"/>
      <c r="E26" s="99"/>
      <c r="F26" s="99">
        <v>3881.8</v>
      </c>
      <c r="G26" s="99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104"/>
      <c r="B27" s="106" t="s">
        <v>89</v>
      </c>
      <c r="C27" s="98"/>
      <c r="D27" s="98"/>
      <c r="E27" s="99"/>
      <c r="F27" s="99"/>
      <c r="G27" s="99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37.5">
      <c r="A28" s="104"/>
      <c r="B28" s="105" t="s">
        <v>197</v>
      </c>
      <c r="C28" s="98"/>
      <c r="D28" s="98"/>
      <c r="E28" s="99"/>
      <c r="F28" s="99">
        <v>11866.27</v>
      </c>
      <c r="G28" s="99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37.5">
      <c r="A29" s="104"/>
      <c r="B29" s="105" t="s">
        <v>198</v>
      </c>
      <c r="C29" s="98"/>
      <c r="D29" s="98"/>
      <c r="E29" s="99"/>
      <c r="F29" s="99">
        <v>2166.02</v>
      </c>
      <c r="G29" s="99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18.75">
      <c r="A30" s="104"/>
      <c r="B30" s="106" t="s">
        <v>90</v>
      </c>
      <c r="C30" s="98"/>
      <c r="D30" s="98"/>
      <c r="E30" s="99"/>
      <c r="F30" s="99"/>
      <c r="G30" s="99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81.75" customHeight="1">
      <c r="A31" s="104"/>
      <c r="B31" s="105" t="s">
        <v>199</v>
      </c>
      <c r="C31" s="98"/>
      <c r="D31" s="98"/>
      <c r="E31" s="99"/>
      <c r="F31" s="99">
        <v>16844.49</v>
      </c>
      <c r="G31" s="99"/>
      <c r="H31" s="17"/>
      <c r="I31" s="18"/>
      <c r="J31" s="19"/>
      <c r="N31" s="20"/>
      <c r="O31" s="20"/>
      <c r="P31" s="20"/>
      <c r="Q31" s="21"/>
      <c r="R31" s="22"/>
      <c r="S31" s="22"/>
    </row>
    <row r="32" spans="1:24" ht="18.75">
      <c r="A32" s="106"/>
      <c r="B32" s="105" t="s">
        <v>949</v>
      </c>
      <c r="C32" s="98"/>
      <c r="D32" s="98"/>
      <c r="E32" s="99"/>
      <c r="F32" s="99">
        <v>1670.15</v>
      </c>
      <c r="G32" s="99"/>
      <c r="H32" s="17"/>
      <c r="I32" s="18"/>
      <c r="J32" s="19"/>
      <c r="K32">
        <v>6</v>
      </c>
      <c r="L32">
        <v>2</v>
      </c>
      <c r="M32">
        <v>4</v>
      </c>
      <c r="N32" s="20">
        <f>C32*J32*K32</f>
        <v>0</v>
      </c>
      <c r="O32" s="20" t="e">
        <f>J32*#REF!*L32</f>
        <v>#REF!</v>
      </c>
      <c r="P32" s="20">
        <f>D32*J32*M32</f>
        <v>0</v>
      </c>
      <c r="Q32" s="24"/>
      <c r="R32" s="22"/>
      <c r="V32">
        <f>J32*R32*U32</f>
        <v>0</v>
      </c>
      <c r="W32">
        <f>U32*S32*J32</f>
        <v>0</v>
      </c>
      <c r="X32">
        <f>SUM(V32:W32)</f>
        <v>0</v>
      </c>
    </row>
    <row r="33" spans="1:18" ht="56.25">
      <c r="A33" s="106"/>
      <c r="B33" s="105" t="s">
        <v>200</v>
      </c>
      <c r="C33" s="98"/>
      <c r="D33" s="98"/>
      <c r="E33" s="99"/>
      <c r="F33" s="99">
        <v>2825.08</v>
      </c>
      <c r="G33" s="99"/>
      <c r="H33" s="17"/>
      <c r="I33" s="18"/>
      <c r="J33" s="19"/>
      <c r="N33" s="20"/>
      <c r="O33" s="20"/>
      <c r="P33" s="20"/>
      <c r="Q33" s="24"/>
      <c r="R33" s="22"/>
    </row>
    <row r="34" spans="1:24" ht="18.75">
      <c r="A34" s="104"/>
      <c r="B34" s="106" t="s">
        <v>91</v>
      </c>
      <c r="C34" s="98"/>
      <c r="D34" s="98"/>
      <c r="E34" s="99"/>
      <c r="F34" s="99"/>
      <c r="G34" s="99"/>
      <c r="H34" s="17"/>
      <c r="I34" s="18"/>
      <c r="J34" s="19"/>
      <c r="K34">
        <v>6</v>
      </c>
      <c r="L34">
        <v>2</v>
      </c>
      <c r="M34">
        <v>4</v>
      </c>
      <c r="N34" s="20">
        <f>C34*J34*K34</f>
        <v>0</v>
      </c>
      <c r="O34" s="20" t="e">
        <f>J34*#REF!*L34</f>
        <v>#REF!</v>
      </c>
      <c r="P34" s="20">
        <f>D34*J34*M34</f>
        <v>0</v>
      </c>
      <c r="Q34" s="24"/>
      <c r="R34" s="22"/>
      <c r="V34">
        <f>J34*R34*U34</f>
        <v>0</v>
      </c>
      <c r="W34">
        <f>U34*S34*J34</f>
        <v>0</v>
      </c>
      <c r="X34">
        <f>SUM(V34:W34)</f>
        <v>0</v>
      </c>
    </row>
    <row r="35" spans="1:24" ht="39" customHeight="1">
      <c r="A35" s="104"/>
      <c r="B35" s="105" t="s">
        <v>201</v>
      </c>
      <c r="C35" s="98"/>
      <c r="D35" s="98"/>
      <c r="E35" s="99"/>
      <c r="F35" s="99">
        <v>6971.78</v>
      </c>
      <c r="G35" s="99"/>
      <c r="H35" s="17"/>
      <c r="I35" s="18"/>
      <c r="J35" s="19"/>
      <c r="K35">
        <v>6</v>
      </c>
      <c r="L35">
        <v>2</v>
      </c>
      <c r="M35">
        <v>4</v>
      </c>
      <c r="N35" s="20">
        <f>C35*J35*K35</f>
        <v>0</v>
      </c>
      <c r="O35" s="20" t="e">
        <f>J35*#REF!*L35</f>
        <v>#REF!</v>
      </c>
      <c r="P35" s="20">
        <f>D35*J35*M35</f>
        <v>0</v>
      </c>
      <c r="Q35" s="24"/>
      <c r="R35" s="22"/>
      <c r="V35">
        <f>J35*R35*U35</f>
        <v>0</v>
      </c>
      <c r="W35">
        <f>U35*S35*J35</f>
        <v>0</v>
      </c>
      <c r="X35">
        <f>SUM(V35:W35)</f>
        <v>0</v>
      </c>
    </row>
    <row r="36" spans="1:18" ht="37.5">
      <c r="A36" s="104"/>
      <c r="B36" s="105" t="s">
        <v>202</v>
      </c>
      <c r="C36" s="98"/>
      <c r="D36" s="98"/>
      <c r="E36" s="99"/>
      <c r="F36" s="99">
        <v>11909.93</v>
      </c>
      <c r="G36" s="99"/>
      <c r="H36" s="17"/>
      <c r="I36" s="18"/>
      <c r="J36" s="19"/>
      <c r="N36" s="20"/>
      <c r="O36" s="20"/>
      <c r="P36" s="20"/>
      <c r="Q36" s="24"/>
      <c r="R36" s="22"/>
    </row>
    <row r="37" spans="1:18" ht="18.75">
      <c r="A37" s="104"/>
      <c r="B37" s="106" t="s">
        <v>92</v>
      </c>
      <c r="C37" s="98"/>
      <c r="D37" s="98"/>
      <c r="E37" s="99"/>
      <c r="F37" s="99"/>
      <c r="G37" s="99"/>
      <c r="H37" s="17"/>
      <c r="I37" s="18"/>
      <c r="J37" s="19"/>
      <c r="N37" s="20"/>
      <c r="O37" s="20"/>
      <c r="P37" s="20"/>
      <c r="Q37" s="24"/>
      <c r="R37" s="22"/>
    </row>
    <row r="38" spans="1:18" ht="37.5" customHeight="1">
      <c r="A38" s="104"/>
      <c r="B38" s="107" t="s">
        <v>203</v>
      </c>
      <c r="C38" s="98"/>
      <c r="D38" s="98"/>
      <c r="E38" s="99"/>
      <c r="F38" s="99">
        <v>1302.26</v>
      </c>
      <c r="G38" s="99"/>
      <c r="H38" s="17"/>
      <c r="I38" s="18"/>
      <c r="J38" s="19"/>
      <c r="N38" s="20"/>
      <c r="O38" s="20"/>
      <c r="P38" s="20"/>
      <c r="Q38" s="24"/>
      <c r="R38" s="22"/>
    </row>
    <row r="39" spans="1:18" ht="37.5">
      <c r="A39" s="104"/>
      <c r="B39" s="107" t="s">
        <v>204</v>
      </c>
      <c r="C39" s="98"/>
      <c r="D39" s="98"/>
      <c r="E39" s="99"/>
      <c r="F39" s="99">
        <v>6004.35</v>
      </c>
      <c r="G39" s="99"/>
      <c r="H39" s="17"/>
      <c r="I39" s="18"/>
      <c r="J39" s="19"/>
      <c r="N39" s="20"/>
      <c r="O39" s="20"/>
      <c r="P39" s="20"/>
      <c r="Q39" s="24"/>
      <c r="R39" s="22"/>
    </row>
    <row r="40" spans="1:18" ht="25.5" customHeight="1">
      <c r="A40" s="104"/>
      <c r="B40" s="106" t="s">
        <v>93</v>
      </c>
      <c r="C40" s="98"/>
      <c r="D40" s="98"/>
      <c r="E40" s="99"/>
      <c r="F40" s="99"/>
      <c r="G40" s="99"/>
      <c r="H40" s="17"/>
      <c r="I40" s="18"/>
      <c r="J40" s="19"/>
      <c r="N40" s="20"/>
      <c r="O40" s="20"/>
      <c r="P40" s="20"/>
      <c r="Q40" s="24"/>
      <c r="R40" s="22"/>
    </row>
    <row r="41" spans="1:18" ht="81.75" customHeight="1">
      <c r="A41" s="104"/>
      <c r="B41" s="107" t="s">
        <v>205</v>
      </c>
      <c r="C41" s="98"/>
      <c r="D41" s="98"/>
      <c r="E41" s="99"/>
      <c r="F41" s="99">
        <v>33674.74</v>
      </c>
      <c r="G41" s="99"/>
      <c r="H41" s="17"/>
      <c r="I41" s="18"/>
      <c r="J41" s="19"/>
      <c r="N41" s="20"/>
      <c r="O41" s="20"/>
      <c r="P41" s="20"/>
      <c r="Q41" s="24"/>
      <c r="R41" s="22"/>
    </row>
    <row r="42" spans="1:18" ht="37.5">
      <c r="A42" s="104"/>
      <c r="B42" s="105" t="s">
        <v>206</v>
      </c>
      <c r="C42" s="98"/>
      <c r="D42" s="98"/>
      <c r="E42" s="99"/>
      <c r="F42" s="99">
        <v>573.84</v>
      </c>
      <c r="G42" s="99"/>
      <c r="H42" s="17"/>
      <c r="I42" s="18"/>
      <c r="J42" s="19"/>
      <c r="N42" s="20"/>
      <c r="O42" s="20"/>
      <c r="P42" s="20"/>
      <c r="Q42" s="24"/>
      <c r="R42" s="22"/>
    </row>
    <row r="43" spans="1:18" ht="18.75">
      <c r="A43" s="104"/>
      <c r="B43" s="106" t="s">
        <v>94</v>
      </c>
      <c r="C43" s="98"/>
      <c r="D43" s="98"/>
      <c r="E43" s="99"/>
      <c r="F43" s="99"/>
      <c r="G43" s="99"/>
      <c r="H43" s="17"/>
      <c r="I43" s="18"/>
      <c r="J43" s="19"/>
      <c r="N43" s="20"/>
      <c r="O43" s="20"/>
      <c r="P43" s="20"/>
      <c r="Q43" s="24"/>
      <c r="R43" s="22"/>
    </row>
    <row r="44" spans="1:18" ht="63" customHeight="1">
      <c r="A44" s="104"/>
      <c r="B44" s="105" t="s">
        <v>207</v>
      </c>
      <c r="C44" s="98"/>
      <c r="D44" s="98"/>
      <c r="E44" s="99"/>
      <c r="F44" s="99">
        <v>12421.14</v>
      </c>
      <c r="G44" s="99"/>
      <c r="H44" s="17"/>
      <c r="I44" s="18"/>
      <c r="J44" s="19"/>
      <c r="N44" s="20"/>
      <c r="O44" s="20"/>
      <c r="P44" s="20"/>
      <c r="Q44" s="24"/>
      <c r="R44" s="22"/>
    </row>
    <row r="45" spans="1:18" ht="37.5">
      <c r="A45" s="104"/>
      <c r="B45" s="105" t="s">
        <v>208</v>
      </c>
      <c r="C45" s="98"/>
      <c r="D45" s="98"/>
      <c r="E45" s="99"/>
      <c r="F45" s="99">
        <v>4407.77</v>
      </c>
      <c r="G45" s="99"/>
      <c r="H45" s="17"/>
      <c r="I45" s="18"/>
      <c r="J45" s="19"/>
      <c r="N45" s="20"/>
      <c r="O45" s="20"/>
      <c r="P45" s="20"/>
      <c r="Q45" s="24"/>
      <c r="R45" s="22"/>
    </row>
    <row r="46" spans="1:18" ht="18.75">
      <c r="A46" s="104"/>
      <c r="B46" s="105" t="s">
        <v>183</v>
      </c>
      <c r="C46" s="98"/>
      <c r="D46" s="98"/>
      <c r="E46" s="99"/>
      <c r="F46" s="99">
        <v>896.7</v>
      </c>
      <c r="G46" s="99"/>
      <c r="H46" s="17"/>
      <c r="I46" s="18"/>
      <c r="J46" s="19"/>
      <c r="N46" s="20"/>
      <c r="O46" s="20"/>
      <c r="P46" s="20"/>
      <c r="Q46" s="24"/>
      <c r="R46" s="22"/>
    </row>
    <row r="47" spans="1:18" ht="18.75">
      <c r="A47" s="104"/>
      <c r="B47" s="106" t="s">
        <v>98</v>
      </c>
      <c r="C47" s="98"/>
      <c r="D47" s="98"/>
      <c r="E47" s="99"/>
      <c r="F47" s="99"/>
      <c r="G47" s="99"/>
      <c r="H47" s="17"/>
      <c r="I47" s="18"/>
      <c r="J47" s="19"/>
      <c r="N47" s="20"/>
      <c r="O47" s="20"/>
      <c r="P47" s="20"/>
      <c r="Q47" s="24"/>
      <c r="R47" s="22"/>
    </row>
    <row r="48" spans="1:18" ht="37.5">
      <c r="A48" s="104"/>
      <c r="B48" s="105" t="s">
        <v>209</v>
      </c>
      <c r="C48" s="98"/>
      <c r="D48" s="98"/>
      <c r="E48" s="99"/>
      <c r="F48" s="99">
        <v>10487.48</v>
      </c>
      <c r="G48" s="99"/>
      <c r="H48" s="17"/>
      <c r="I48" s="18"/>
      <c r="J48" s="19"/>
      <c r="N48" s="20"/>
      <c r="O48" s="20"/>
      <c r="P48" s="20"/>
      <c r="Q48" s="24"/>
      <c r="R48" s="22"/>
    </row>
    <row r="49" spans="1:18" ht="37.5">
      <c r="A49" s="104"/>
      <c r="B49" s="105" t="s">
        <v>210</v>
      </c>
      <c r="C49" s="98"/>
      <c r="D49" s="98"/>
      <c r="E49" s="99"/>
      <c r="F49" s="99">
        <v>1364.45</v>
      </c>
      <c r="G49" s="99"/>
      <c r="H49" s="17"/>
      <c r="I49" s="18"/>
      <c r="J49" s="19"/>
      <c r="N49" s="20"/>
      <c r="O49" s="20"/>
      <c r="P49" s="20"/>
      <c r="Q49" s="24"/>
      <c r="R49" s="22"/>
    </row>
    <row r="50" spans="1:18" ht="37.5">
      <c r="A50" s="104"/>
      <c r="B50" s="105" t="s">
        <v>211</v>
      </c>
      <c r="C50" s="98"/>
      <c r="D50" s="98"/>
      <c r="E50" s="99"/>
      <c r="F50" s="99">
        <v>6518.93</v>
      </c>
      <c r="G50" s="99"/>
      <c r="H50" s="17"/>
      <c r="I50" s="18"/>
      <c r="J50" s="19"/>
      <c r="N50" s="20"/>
      <c r="O50" s="20"/>
      <c r="P50" s="20"/>
      <c r="Q50" s="24"/>
      <c r="R50" s="22"/>
    </row>
    <row r="51" spans="1:18" ht="18.75">
      <c r="A51" s="104"/>
      <c r="B51" s="106" t="s">
        <v>95</v>
      </c>
      <c r="C51" s="98"/>
      <c r="D51" s="98"/>
      <c r="E51" s="99"/>
      <c r="F51" s="99"/>
      <c r="G51" s="99"/>
      <c r="H51" s="17"/>
      <c r="I51" s="18"/>
      <c r="J51" s="19"/>
      <c r="N51" s="20"/>
      <c r="O51" s="20"/>
      <c r="P51" s="20"/>
      <c r="Q51" s="24"/>
      <c r="R51" s="22"/>
    </row>
    <row r="52" spans="1:18" ht="73.5" customHeight="1">
      <c r="A52" s="104"/>
      <c r="B52" s="105" t="s">
        <v>212</v>
      </c>
      <c r="C52" s="98"/>
      <c r="D52" s="98"/>
      <c r="E52" s="99"/>
      <c r="F52" s="99">
        <v>26808.39</v>
      </c>
      <c r="G52" s="99"/>
      <c r="H52" s="17"/>
      <c r="I52" s="18"/>
      <c r="J52" s="19"/>
      <c r="N52" s="20"/>
      <c r="O52" s="20"/>
      <c r="P52" s="20"/>
      <c r="Q52" s="24"/>
      <c r="R52" s="22"/>
    </row>
    <row r="53" spans="1:18" ht="18" customHeight="1">
      <c r="A53" s="104"/>
      <c r="B53" s="105" t="s">
        <v>213</v>
      </c>
      <c r="C53" s="98"/>
      <c r="D53" s="98"/>
      <c r="E53" s="99"/>
      <c r="F53" s="99">
        <v>915.5</v>
      </c>
      <c r="G53" s="99"/>
      <c r="H53" s="17"/>
      <c r="I53" s="18"/>
      <c r="J53" s="19"/>
      <c r="N53" s="20"/>
      <c r="O53" s="20"/>
      <c r="P53" s="20"/>
      <c r="Q53" s="24"/>
      <c r="R53" s="22"/>
    </row>
    <row r="54" spans="1:18" ht="18.75">
      <c r="A54" s="104"/>
      <c r="B54" s="105" t="s">
        <v>214</v>
      </c>
      <c r="C54" s="98"/>
      <c r="D54" s="98"/>
      <c r="E54" s="99"/>
      <c r="F54" s="99">
        <v>2206.77</v>
      </c>
      <c r="G54" s="99"/>
      <c r="H54" s="17"/>
      <c r="I54" s="18"/>
      <c r="J54" s="19"/>
      <c r="N54" s="20"/>
      <c r="O54" s="20"/>
      <c r="P54" s="20"/>
      <c r="Q54" s="24"/>
      <c r="R54" s="22"/>
    </row>
    <row r="55" spans="1:18" ht="18.75">
      <c r="A55" s="104"/>
      <c r="B55" s="106" t="s">
        <v>96</v>
      </c>
      <c r="C55" s="98"/>
      <c r="D55" s="98"/>
      <c r="E55" s="99"/>
      <c r="F55" s="99"/>
      <c r="G55" s="99"/>
      <c r="H55" s="17"/>
      <c r="I55" s="18"/>
      <c r="J55" s="19"/>
      <c r="N55" s="20"/>
      <c r="O55" s="20"/>
      <c r="P55" s="20"/>
      <c r="Q55" s="24"/>
      <c r="R55" s="22"/>
    </row>
    <row r="56" spans="1:18" ht="36" customHeight="1">
      <c r="A56" s="104"/>
      <c r="B56" s="105" t="s">
        <v>215</v>
      </c>
      <c r="C56" s="98"/>
      <c r="D56" s="98"/>
      <c r="E56" s="99"/>
      <c r="F56" s="99">
        <v>13439.26</v>
      </c>
      <c r="G56" s="99"/>
      <c r="H56" s="17"/>
      <c r="I56" s="18"/>
      <c r="J56" s="19"/>
      <c r="N56" s="20"/>
      <c r="O56" s="20"/>
      <c r="P56" s="20"/>
      <c r="Q56" s="24"/>
      <c r="R56" s="22"/>
    </row>
    <row r="57" spans="1:18" ht="37.5">
      <c r="A57" s="104"/>
      <c r="B57" s="105" t="s">
        <v>216</v>
      </c>
      <c r="C57" s="98"/>
      <c r="D57" s="98"/>
      <c r="E57" s="99"/>
      <c r="F57" s="99">
        <v>2728.44</v>
      </c>
      <c r="G57" s="99"/>
      <c r="H57" s="17"/>
      <c r="I57" s="18"/>
      <c r="J57" s="19"/>
      <c r="N57" s="20"/>
      <c r="O57" s="20"/>
      <c r="P57" s="20"/>
      <c r="Q57" s="24"/>
      <c r="R57" s="22"/>
    </row>
    <row r="58" spans="1:18" ht="18.75">
      <c r="A58" s="104"/>
      <c r="B58" s="105" t="s">
        <v>217</v>
      </c>
      <c r="C58" s="98"/>
      <c r="D58" s="98"/>
      <c r="E58" s="99"/>
      <c r="F58" s="99">
        <v>3504.16</v>
      </c>
      <c r="G58" s="99"/>
      <c r="H58" s="17"/>
      <c r="I58" s="18"/>
      <c r="J58" s="19"/>
      <c r="N58" s="20"/>
      <c r="O58" s="20"/>
      <c r="P58" s="20"/>
      <c r="Q58" s="24"/>
      <c r="R58" s="22"/>
    </row>
    <row r="59" spans="1:18" ht="18.75">
      <c r="A59" s="104"/>
      <c r="B59" s="106" t="s">
        <v>97</v>
      </c>
      <c r="C59" s="98"/>
      <c r="D59" s="98"/>
      <c r="E59" s="99"/>
      <c r="F59" s="99"/>
      <c r="G59" s="99"/>
      <c r="H59" s="17"/>
      <c r="I59" s="18"/>
      <c r="J59" s="19"/>
      <c r="N59" s="20"/>
      <c r="O59" s="20"/>
      <c r="P59" s="20"/>
      <c r="Q59" s="24"/>
      <c r="R59" s="22"/>
    </row>
    <row r="60" spans="1:18" ht="39.75" customHeight="1">
      <c r="A60" s="104"/>
      <c r="B60" s="107" t="s">
        <v>249</v>
      </c>
      <c r="C60" s="98"/>
      <c r="D60" s="98"/>
      <c r="E60" s="99"/>
      <c r="F60" s="99">
        <v>1689.94</v>
      </c>
      <c r="G60" s="99"/>
      <c r="H60" s="17"/>
      <c r="I60" s="18"/>
      <c r="J60" s="19"/>
      <c r="N60" s="20"/>
      <c r="O60" s="20"/>
      <c r="P60" s="20"/>
      <c r="Q60" s="24"/>
      <c r="R60" s="22"/>
    </row>
    <row r="61" spans="1:18" ht="56.25">
      <c r="A61" s="104"/>
      <c r="B61" s="105" t="s">
        <v>250</v>
      </c>
      <c r="C61" s="98"/>
      <c r="D61" s="98"/>
      <c r="E61" s="99"/>
      <c r="F61" s="99">
        <v>15944.63</v>
      </c>
      <c r="G61" s="99"/>
      <c r="H61" s="17"/>
      <c r="I61" s="18"/>
      <c r="J61" s="19"/>
      <c r="N61" s="20"/>
      <c r="O61" s="20"/>
      <c r="P61" s="20"/>
      <c r="Q61" s="24"/>
      <c r="R61" s="22"/>
    </row>
    <row r="62" spans="1:18" ht="37.5" customHeight="1">
      <c r="A62" s="104"/>
      <c r="B62" s="14" t="s">
        <v>943</v>
      </c>
      <c r="C62" s="98"/>
      <c r="D62" s="98"/>
      <c r="E62" s="99">
        <v>-24248.54</v>
      </c>
      <c r="F62" s="99">
        <f>E62</f>
        <v>-24248.54</v>
      </c>
      <c r="G62" s="99"/>
      <c r="H62" s="17"/>
      <c r="I62" s="18"/>
      <c r="J62" s="19"/>
      <c r="N62" s="20"/>
      <c r="O62" s="20"/>
      <c r="P62" s="20"/>
      <c r="Q62" s="24"/>
      <c r="R62" s="22"/>
    </row>
    <row r="63" spans="1:24" ht="18.75">
      <c r="A63" s="105"/>
      <c r="B63" s="105" t="s">
        <v>9</v>
      </c>
      <c r="C63" s="106">
        <f>SUM(C13:C35)</f>
        <v>9.01</v>
      </c>
      <c r="D63" s="106">
        <f>SUM(D13:D35)</f>
        <v>9.6</v>
      </c>
      <c r="E63" s="99">
        <f>SUM(E13:E42)+E62</f>
        <v>433713.7839999999</v>
      </c>
      <c r="F63" s="99">
        <f>F13+F14+F15+F16+F17+F18+F62</f>
        <v>479555.234</v>
      </c>
      <c r="G63" s="99">
        <f>SUM(G13:G42)</f>
        <v>472481.27999999997</v>
      </c>
      <c r="H63" s="17">
        <f>1.04993597951*C63</f>
        <v>9.4599231753851</v>
      </c>
      <c r="I63" s="18">
        <f>1.12035851472*C63</f>
        <v>10.094430217627199</v>
      </c>
      <c r="J63" s="19">
        <f>J18</f>
        <v>4101.4</v>
      </c>
      <c r="N63" s="20"/>
      <c r="Q63" s="24"/>
      <c r="R63" s="22">
        <f>SUM(R13:R35)</f>
        <v>8.75</v>
      </c>
      <c r="S63" s="22">
        <f>SUM(S13:S35)</f>
        <v>9.16</v>
      </c>
      <c r="T63" s="22"/>
      <c r="U63" s="22"/>
      <c r="V63" s="22">
        <f>SUM(V13:V35)</f>
        <v>215323.49999999997</v>
      </c>
      <c r="W63" s="22">
        <f>SUM(W13:W35)</f>
        <v>225412.944</v>
      </c>
      <c r="X63" s="22">
        <f>SUM(X13:X35)</f>
        <v>440736.44399999996</v>
      </c>
    </row>
    <row r="64" spans="1:44" ht="18.75">
      <c r="A64" s="106">
        <v>5</v>
      </c>
      <c r="B64" s="105" t="s">
        <v>26</v>
      </c>
      <c r="C64" s="108">
        <v>1.58</v>
      </c>
      <c r="D64" s="108">
        <v>1.85</v>
      </c>
      <c r="E64" s="98">
        <f>AP64*AQ64*6</f>
        <v>46509.87599999999</v>
      </c>
      <c r="F64" s="101">
        <f>E64</f>
        <v>46509.87599999999</v>
      </c>
      <c r="G64" s="101">
        <f>AR64*12*AQ64</f>
        <v>93019.752</v>
      </c>
      <c r="H64">
        <f>H30</f>
        <v>0</v>
      </c>
      <c r="I64" s="2"/>
      <c r="J64">
        <f>1.47+1.58</f>
        <v>3.05</v>
      </c>
      <c r="K64">
        <f>J64/2</f>
        <v>1.525</v>
      </c>
      <c r="O64" t="e">
        <f>#REF!</f>
        <v>#REF!</v>
      </c>
      <c r="P64">
        <f>1.58+1.85</f>
        <v>3.43</v>
      </c>
      <c r="Q64">
        <f>P64/2</f>
        <v>1.715</v>
      </c>
      <c r="R64" s="22">
        <v>1.47</v>
      </c>
      <c r="S64">
        <v>1.58</v>
      </c>
      <c r="T64">
        <v>6</v>
      </c>
      <c r="U64">
        <v>6</v>
      </c>
      <c r="V64">
        <f>R64*J64*T64</f>
        <v>26.900999999999996</v>
      </c>
      <c r="W64">
        <f>S64*U64*J64</f>
        <v>28.913999999999998</v>
      </c>
      <c r="X64">
        <f>SUM(V64:W64)</f>
        <v>55.815</v>
      </c>
      <c r="AP64">
        <v>1.89</v>
      </c>
      <c r="AQ64">
        <f>C7</f>
        <v>4101.4</v>
      </c>
      <c r="AR64">
        <v>1.89</v>
      </c>
    </row>
    <row r="65" spans="1:17" ht="18.75">
      <c r="A65" s="109"/>
      <c r="B65" s="109"/>
      <c r="C65" s="109"/>
      <c r="D65" s="109"/>
      <c r="E65" s="109"/>
      <c r="F65" s="109"/>
      <c r="G65" s="109"/>
      <c r="H65" s="10"/>
      <c r="Q65" s="24"/>
    </row>
    <row r="66" spans="1:17" ht="18.75" customHeight="1">
      <c r="A66" s="179" t="s">
        <v>941</v>
      </c>
      <c r="B66" s="179"/>
      <c r="C66" s="200">
        <v>95356.44</v>
      </c>
      <c r="D66" s="200"/>
      <c r="E66" s="109" t="s">
        <v>18</v>
      </c>
      <c r="F66" s="109"/>
      <c r="G66" s="109"/>
      <c r="H66" s="10"/>
      <c r="Q66" s="24"/>
    </row>
    <row r="67" spans="1:17" ht="18.75" customHeight="1">
      <c r="A67" s="179" t="s">
        <v>942</v>
      </c>
      <c r="B67" s="179"/>
      <c r="C67" s="200">
        <v>83640.34</v>
      </c>
      <c r="D67" s="200"/>
      <c r="E67" s="109" t="s">
        <v>18</v>
      </c>
      <c r="F67" s="109"/>
      <c r="G67" s="109"/>
      <c r="H67" s="10"/>
      <c r="Q67" s="24"/>
    </row>
    <row r="68" spans="1:8" ht="18.75">
      <c r="A68" s="195" t="s">
        <v>17</v>
      </c>
      <c r="B68" s="195"/>
      <c r="C68" s="195"/>
      <c r="D68" s="195"/>
      <c r="E68" s="195"/>
      <c r="F68" s="195"/>
      <c r="G68" s="195"/>
      <c r="H68" s="10"/>
    </row>
    <row r="69" spans="1:8" ht="18.75" customHeight="1" hidden="1">
      <c r="A69" s="196" t="s">
        <v>35</v>
      </c>
      <c r="B69" s="196"/>
      <c r="C69" s="110" t="e">
        <f>C66-#REF!</f>
        <v>#REF!</v>
      </c>
      <c r="D69" s="109" t="s">
        <v>18</v>
      </c>
      <c r="E69" s="109"/>
      <c r="F69" s="109"/>
      <c r="G69" s="109"/>
      <c r="H69" s="10"/>
    </row>
    <row r="70" spans="1:8" ht="18.75" customHeight="1" hidden="1">
      <c r="A70" s="196" t="s">
        <v>36</v>
      </c>
      <c r="B70" s="196"/>
      <c r="C70" s="111">
        <f>E63-F63</f>
        <v>-45841.45000000007</v>
      </c>
      <c r="D70" s="112" t="str">
        <f>D69</f>
        <v>рублей</v>
      </c>
      <c r="E70" s="113"/>
      <c r="F70" s="113"/>
      <c r="G70" s="113"/>
      <c r="H70" s="28"/>
    </row>
    <row r="71" spans="1:7" ht="12.75">
      <c r="A71" s="113"/>
      <c r="B71" s="114"/>
      <c r="C71" s="114"/>
      <c r="D71" s="114"/>
      <c r="E71" s="113"/>
      <c r="F71" s="113"/>
      <c r="G71" s="113"/>
    </row>
    <row r="72" spans="1:7" ht="12.75">
      <c r="A72" s="113"/>
      <c r="B72" s="113"/>
      <c r="C72" s="113"/>
      <c r="D72" s="113"/>
      <c r="E72" s="113"/>
      <c r="F72" s="113"/>
      <c r="G72" s="113"/>
    </row>
    <row r="73" spans="1:7" ht="12.75">
      <c r="A73" s="113"/>
      <c r="B73" s="113"/>
      <c r="C73" s="113"/>
      <c r="D73" s="113"/>
      <c r="E73" s="113"/>
      <c r="F73" s="113"/>
      <c r="G73" s="113"/>
    </row>
    <row r="74" spans="1:7" ht="12.75">
      <c r="A74" s="113"/>
      <c r="B74" s="113"/>
      <c r="C74" s="113"/>
      <c r="D74" s="113"/>
      <c r="E74" s="113"/>
      <c r="F74" s="113"/>
      <c r="G74" s="113"/>
    </row>
    <row r="75" spans="1:7" ht="12.75">
      <c r="A75" s="113"/>
      <c r="B75" s="113"/>
      <c r="C75" s="113"/>
      <c r="D75" s="113"/>
      <c r="E75" s="113"/>
      <c r="F75" s="113"/>
      <c r="G75" s="113"/>
    </row>
    <row r="76" spans="1:7" ht="12.75">
      <c r="A76" s="113"/>
      <c r="B76" s="113"/>
      <c r="C76" s="113"/>
      <c r="D76" s="113"/>
      <c r="E76" s="113"/>
      <c r="F76" s="113"/>
      <c r="G76" s="113"/>
    </row>
    <row r="77" spans="1:7" ht="12.75">
      <c r="A77" s="113"/>
      <c r="B77" s="113"/>
      <c r="C77" s="113"/>
      <c r="D77" s="113"/>
      <c r="E77" s="113"/>
      <c r="F77" s="113"/>
      <c r="G77" s="113"/>
    </row>
    <row r="78" spans="1:7" ht="12.75">
      <c r="A78" s="113"/>
      <c r="B78" s="113"/>
      <c r="C78" s="113"/>
      <c r="D78" s="113"/>
      <c r="E78" s="113"/>
      <c r="F78" s="113"/>
      <c r="G78" s="113"/>
    </row>
    <row r="79" spans="1:7" ht="12.75">
      <c r="A79" s="73"/>
      <c r="B79" s="73"/>
      <c r="C79" s="73"/>
      <c r="D79" s="73"/>
      <c r="E79" s="73"/>
      <c r="F79" s="73"/>
      <c r="G79" s="73"/>
    </row>
    <row r="80" spans="1:7" ht="12.75">
      <c r="A80" s="73"/>
      <c r="B80" s="73"/>
      <c r="C80" s="73"/>
      <c r="D80" s="73"/>
      <c r="E80" s="73"/>
      <c r="F80" s="73"/>
      <c r="G80" s="73"/>
    </row>
    <row r="81" spans="1:7" ht="12.75">
      <c r="A81" s="73"/>
      <c r="B81" s="73"/>
      <c r="C81" s="73"/>
      <c r="D81" s="73"/>
      <c r="E81" s="73"/>
      <c r="F81" s="73"/>
      <c r="G81" s="73"/>
    </row>
    <row r="82" spans="1:7" ht="12.75">
      <c r="A82" s="73"/>
      <c r="B82" s="73"/>
      <c r="C82" s="73"/>
      <c r="D82" s="73"/>
      <c r="E82" s="73"/>
      <c r="F82" s="73"/>
      <c r="G82" s="73"/>
    </row>
    <row r="83" spans="1:7" ht="12.75">
      <c r="A83" s="73"/>
      <c r="B83" s="73"/>
      <c r="C83" s="73"/>
      <c r="D83" s="73"/>
      <c r="E83" s="73"/>
      <c r="F83" s="73"/>
      <c r="G83" s="73"/>
    </row>
    <row r="84" spans="1:7" ht="12.75">
      <c r="A84" s="73"/>
      <c r="B84" s="73"/>
      <c r="C84" s="73"/>
      <c r="D84" s="73"/>
      <c r="E84" s="73"/>
      <c r="F84" s="73"/>
      <c r="G84" s="73"/>
    </row>
  </sheetData>
  <sheetProtection/>
  <mergeCells count="18">
    <mergeCell ref="A1:G2"/>
    <mergeCell ref="A3:G3"/>
    <mergeCell ref="A4:H5"/>
    <mergeCell ref="C66:D66"/>
    <mergeCell ref="C67:D67"/>
    <mergeCell ref="F9:F11"/>
    <mergeCell ref="G9:G11"/>
    <mergeCell ref="A66:B66"/>
    <mergeCell ref="A67:B67"/>
    <mergeCell ref="A68:G68"/>
    <mergeCell ref="A69:B69"/>
    <mergeCell ref="A70:B70"/>
    <mergeCell ref="J9:Q12"/>
    <mergeCell ref="R9:X12"/>
    <mergeCell ref="A9:A11"/>
    <mergeCell ref="B9:B11"/>
    <mergeCell ref="C9:D10"/>
    <mergeCell ref="E9:E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  <rowBreaks count="1" manualBreakCount="1">
    <brk id="36" max="6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</sheetPr>
  <dimension ref="A1:AH46"/>
  <sheetViews>
    <sheetView view="pageBreakPreview" zoomScale="75" zoomScaleSheetLayoutView="75" zoomScalePageLayoutView="0" workbookViewId="0" topLeftCell="A25">
      <selection activeCell="E34" sqref="E34"/>
    </sheetView>
  </sheetViews>
  <sheetFormatPr defaultColWidth="9.00390625" defaultRowHeight="12.75"/>
  <cols>
    <col min="1" max="1" width="9.25390625" style="0" bestFit="1" customWidth="1"/>
    <col min="2" max="2" width="59.00390625" style="0" customWidth="1"/>
    <col min="3" max="3" width="10.625" style="0" customWidth="1"/>
    <col min="4" max="4" width="12.125" style="0" customWidth="1"/>
    <col min="5" max="5" width="15.75390625" style="0" customWidth="1"/>
    <col min="6" max="6" width="13.375" style="0" bestFit="1" customWidth="1"/>
    <col min="7" max="7" width="13.00390625" style="0" bestFit="1" customWidth="1"/>
    <col min="8" max="8" width="9.375" style="0" hidden="1" customWidth="1"/>
    <col min="9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1" width="9.25390625" style="0" hidden="1" customWidth="1"/>
    <col min="22" max="31" width="0" style="0" hidden="1" customWidth="1"/>
  </cols>
  <sheetData>
    <row r="1" spans="1:8" ht="18.75">
      <c r="A1" s="193" t="s">
        <v>25</v>
      </c>
      <c r="B1" s="193"/>
      <c r="C1" s="193"/>
      <c r="D1" s="193"/>
      <c r="E1" s="193"/>
      <c r="F1" s="193"/>
      <c r="G1" s="193"/>
      <c r="H1" s="55"/>
    </row>
    <row r="2" spans="1:8" ht="18.75">
      <c r="A2" s="193"/>
      <c r="B2" s="193"/>
      <c r="C2" s="193"/>
      <c r="D2" s="193"/>
      <c r="E2" s="193"/>
      <c r="F2" s="193"/>
      <c r="G2" s="193"/>
      <c r="H2" s="55"/>
    </row>
    <row r="3" spans="1:8" ht="57.75" customHeight="1">
      <c r="A3" s="193" t="s">
        <v>70</v>
      </c>
      <c r="B3" s="193"/>
      <c r="C3" s="193"/>
      <c r="D3" s="193"/>
      <c r="E3" s="193"/>
      <c r="F3" s="193"/>
      <c r="G3" s="193"/>
      <c r="H3" s="52"/>
    </row>
    <row r="4" spans="1:8" ht="12.75">
      <c r="A4" s="193" t="s">
        <v>110</v>
      </c>
      <c r="B4" s="193"/>
      <c r="C4" s="193"/>
      <c r="D4" s="193"/>
      <c r="E4" s="193"/>
      <c r="F4" s="193"/>
      <c r="G4" s="193"/>
      <c r="H4" s="193"/>
    </row>
    <row r="5" spans="1:8" ht="12.75">
      <c r="A5" s="193"/>
      <c r="B5" s="193"/>
      <c r="C5" s="193"/>
      <c r="D5" s="193"/>
      <c r="E5" s="193"/>
      <c r="F5" s="193"/>
      <c r="G5" s="193"/>
      <c r="H5" s="193"/>
    </row>
    <row r="6" spans="1:8" ht="18.75">
      <c r="A6" s="52"/>
      <c r="B6" s="52"/>
      <c r="C6" s="52"/>
      <c r="D6" s="52"/>
      <c r="E6" s="52"/>
      <c r="F6" s="52"/>
      <c r="G6" s="52"/>
      <c r="H6" s="52"/>
    </row>
    <row r="7" spans="1:8" ht="22.5">
      <c r="A7" s="59"/>
      <c r="B7" s="57" t="s">
        <v>5</v>
      </c>
      <c r="C7" s="52">
        <v>354</v>
      </c>
      <c r="D7" s="52" t="s">
        <v>31</v>
      </c>
      <c r="E7" s="55"/>
      <c r="F7" s="55"/>
      <c r="G7" s="55"/>
      <c r="H7" s="55"/>
    </row>
    <row r="8" spans="1:8" ht="18.75">
      <c r="A8" s="59"/>
      <c r="B8" s="52"/>
      <c r="C8" s="52"/>
      <c r="D8" s="52"/>
      <c r="E8" s="52"/>
      <c r="F8" s="52"/>
      <c r="G8" s="52"/>
      <c r="H8" s="52"/>
    </row>
    <row r="9" spans="1:24" ht="18.75" customHeight="1">
      <c r="A9" s="211" t="s">
        <v>8</v>
      </c>
      <c r="B9" s="211" t="s">
        <v>6</v>
      </c>
      <c r="C9" s="214" t="s">
        <v>32</v>
      </c>
      <c r="D9" s="215"/>
      <c r="E9" s="244" t="s">
        <v>99</v>
      </c>
      <c r="F9" s="247" t="s">
        <v>74</v>
      </c>
      <c r="G9" s="244" t="s">
        <v>218</v>
      </c>
      <c r="H9" s="53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87" customHeight="1">
      <c r="A10" s="212"/>
      <c r="B10" s="212"/>
      <c r="C10" s="216"/>
      <c r="D10" s="217"/>
      <c r="E10" s="245"/>
      <c r="F10" s="248"/>
      <c r="G10" s="245"/>
      <c r="H10" s="53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96.75" customHeight="1">
      <c r="A11" s="213"/>
      <c r="B11" s="213"/>
      <c r="C11" s="124" t="s">
        <v>107</v>
      </c>
      <c r="D11" s="124" t="s">
        <v>106</v>
      </c>
      <c r="E11" s="246"/>
      <c r="F11" s="249"/>
      <c r="G11" s="246"/>
      <c r="H11" s="53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42" t="s">
        <v>12</v>
      </c>
      <c r="B12" s="53" t="s">
        <v>20</v>
      </c>
      <c r="C12" s="74"/>
      <c r="D12" s="74"/>
      <c r="E12" s="42"/>
      <c r="F12" s="42"/>
      <c r="G12" s="42"/>
      <c r="H12" s="53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34" ht="18.75">
      <c r="A13" s="42" t="s">
        <v>13</v>
      </c>
      <c r="B13" s="53" t="s">
        <v>10</v>
      </c>
      <c r="C13" s="34">
        <v>1.09</v>
      </c>
      <c r="D13" s="34">
        <v>1.14</v>
      </c>
      <c r="E13" s="42">
        <f aca="true" t="shared" si="0" ref="E13:E18">AF13*AG13*6</f>
        <v>4736.5199999999995</v>
      </c>
      <c r="F13" s="42">
        <f>E13</f>
        <v>4736.5199999999995</v>
      </c>
      <c r="G13" s="42">
        <f aca="true" t="shared" si="1" ref="G13:G18">AF13*AH13*12</f>
        <v>4842.719999999999</v>
      </c>
      <c r="H13" s="53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354</v>
      </c>
      <c r="K13">
        <v>6</v>
      </c>
      <c r="L13">
        <v>2</v>
      </c>
      <c r="M13">
        <v>4</v>
      </c>
      <c r="N13" s="20">
        <f aca="true" t="shared" si="4" ref="N13:N18">C13*J13*K13</f>
        <v>2315.16</v>
      </c>
      <c r="O13" s="20" t="e">
        <f>J13*#REF!*L13</f>
        <v>#REF!</v>
      </c>
      <c r="P13" s="20">
        <f aca="true" t="shared" si="5" ref="P13:P18">D13*J13*M13</f>
        <v>1614.2399999999998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2230.2</v>
      </c>
      <c r="W13">
        <f aca="true" t="shared" si="8" ref="W13:W18">U13*S13*J13</f>
        <v>2315.1600000000003</v>
      </c>
      <c r="X13">
        <f aca="true" t="shared" si="9" ref="X13:X18">SUM(V13:W13)</f>
        <v>4545.360000000001</v>
      </c>
      <c r="AF13" s="69">
        <f>C7</f>
        <v>354</v>
      </c>
      <c r="AG13" s="22">
        <f aca="true" t="shared" si="10" ref="AG13:AG18">C13+D13</f>
        <v>2.23</v>
      </c>
      <c r="AH13" s="34">
        <v>1.14</v>
      </c>
    </row>
    <row r="14" spans="1:34" ht="37.5">
      <c r="A14" s="42" t="s">
        <v>14</v>
      </c>
      <c r="B14" s="53" t="s">
        <v>15</v>
      </c>
      <c r="C14" s="34">
        <v>1.39</v>
      </c>
      <c r="D14" s="34">
        <v>1.46</v>
      </c>
      <c r="E14" s="42">
        <f t="shared" si="0"/>
        <v>6053.4</v>
      </c>
      <c r="F14" s="42">
        <f>E14</f>
        <v>6053.4</v>
      </c>
      <c r="G14" s="42">
        <f t="shared" si="1"/>
        <v>6202.08</v>
      </c>
      <c r="H14" s="53">
        <f t="shared" si="2"/>
        <v>1.4594110115189</v>
      </c>
      <c r="I14" s="18">
        <f t="shared" si="3"/>
        <v>1.5572983354607999</v>
      </c>
      <c r="J14" s="19">
        <f>J13</f>
        <v>354</v>
      </c>
      <c r="K14">
        <v>6</v>
      </c>
      <c r="L14">
        <v>2</v>
      </c>
      <c r="M14">
        <v>4</v>
      </c>
      <c r="N14" s="20">
        <f t="shared" si="4"/>
        <v>2952.3599999999997</v>
      </c>
      <c r="O14" s="20" t="e">
        <f>J14*#REF!*L14</f>
        <v>#REF!</v>
      </c>
      <c r="P14" s="20">
        <f t="shared" si="5"/>
        <v>2067.36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2824.92</v>
      </c>
      <c r="W14">
        <f t="shared" si="8"/>
        <v>2952.36</v>
      </c>
      <c r="X14">
        <f t="shared" si="9"/>
        <v>5777.280000000001</v>
      </c>
      <c r="AF14">
        <f>AF13</f>
        <v>354</v>
      </c>
      <c r="AG14" s="22">
        <f t="shared" si="10"/>
        <v>2.8499999999999996</v>
      </c>
      <c r="AH14" s="34">
        <v>1.46</v>
      </c>
    </row>
    <row r="15" spans="1:34" ht="18.75">
      <c r="A15" s="42" t="s">
        <v>16</v>
      </c>
      <c r="B15" s="53" t="s">
        <v>7</v>
      </c>
      <c r="C15" s="34"/>
      <c r="D15" s="34"/>
      <c r="E15" s="42"/>
      <c r="F15" s="42"/>
      <c r="G15" s="42"/>
      <c r="H15" s="53"/>
      <c r="I15" s="18"/>
      <c r="J15" s="19"/>
      <c r="N15" s="20"/>
      <c r="O15" s="20"/>
      <c r="P15" s="20"/>
      <c r="Q15" s="21"/>
      <c r="R15" s="22"/>
      <c r="S15" s="22"/>
      <c r="AG15" s="22"/>
      <c r="AH15" s="34"/>
    </row>
    <row r="16" spans="1:34" ht="18.75">
      <c r="A16" s="42" t="s">
        <v>21</v>
      </c>
      <c r="B16" s="53" t="s">
        <v>11</v>
      </c>
      <c r="C16" s="34">
        <v>0.82</v>
      </c>
      <c r="D16" s="34">
        <v>0.58</v>
      </c>
      <c r="E16" s="42">
        <f t="shared" si="0"/>
        <v>2973.6</v>
      </c>
      <c r="F16" s="42">
        <f>E16</f>
        <v>2973.6</v>
      </c>
      <c r="G16" s="42">
        <f t="shared" si="1"/>
        <v>2463.84</v>
      </c>
      <c r="H16" s="53">
        <f t="shared" si="2"/>
        <v>0.8609475031982</v>
      </c>
      <c r="I16" s="18">
        <f t="shared" si="3"/>
        <v>0.9186939820703999</v>
      </c>
      <c r="J16" s="19">
        <f>J15</f>
        <v>0</v>
      </c>
      <c r="K16">
        <v>6</v>
      </c>
      <c r="L16">
        <v>2</v>
      </c>
      <c r="M16">
        <v>4</v>
      </c>
      <c r="N16" s="20">
        <f t="shared" si="4"/>
        <v>0</v>
      </c>
      <c r="O16" s="20" t="e">
        <f>J16*#REF!*L16</f>
        <v>#REF!</v>
      </c>
      <c r="P16" s="20">
        <f t="shared" si="5"/>
        <v>0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0</v>
      </c>
      <c r="W16">
        <f t="shared" si="8"/>
        <v>0</v>
      </c>
      <c r="X16">
        <f t="shared" si="9"/>
        <v>0</v>
      </c>
      <c r="AF16">
        <f>AF14</f>
        <v>354</v>
      </c>
      <c r="AG16" s="22">
        <f t="shared" si="10"/>
        <v>1.4</v>
      </c>
      <c r="AH16" s="34">
        <v>0.58</v>
      </c>
    </row>
    <row r="17" spans="1:34" ht="18.75">
      <c r="A17" s="42" t="s">
        <v>22</v>
      </c>
      <c r="B17" s="53" t="s">
        <v>19</v>
      </c>
      <c r="C17" s="34">
        <v>1.24</v>
      </c>
      <c r="D17" s="34">
        <v>1.24</v>
      </c>
      <c r="E17" s="42">
        <f t="shared" si="0"/>
        <v>5267.5199999999995</v>
      </c>
      <c r="F17" s="42">
        <f>E17</f>
        <v>5267.5199999999995</v>
      </c>
      <c r="G17" s="42">
        <f t="shared" si="1"/>
        <v>5267.5199999999995</v>
      </c>
      <c r="H17" s="53">
        <f t="shared" si="2"/>
        <v>1.3019206145924</v>
      </c>
      <c r="I17" s="18">
        <f t="shared" si="3"/>
        <v>1.3892445582528</v>
      </c>
      <c r="J17" s="19">
        <f>J16</f>
        <v>0</v>
      </c>
      <c r="K17">
        <v>6</v>
      </c>
      <c r="L17">
        <v>2</v>
      </c>
      <c r="M17">
        <v>4</v>
      </c>
      <c r="N17" s="20">
        <f t="shared" si="4"/>
        <v>0</v>
      </c>
      <c r="O17" s="20" t="e">
        <f>J17*#REF!*L17</f>
        <v>#REF!</v>
      </c>
      <c r="P17" s="20">
        <f t="shared" si="5"/>
        <v>0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0</v>
      </c>
      <c r="W17">
        <f t="shared" si="8"/>
        <v>0</v>
      </c>
      <c r="X17">
        <f t="shared" si="9"/>
        <v>0</v>
      </c>
      <c r="AF17">
        <f>AF16</f>
        <v>354</v>
      </c>
      <c r="AG17" s="22">
        <f t="shared" si="10"/>
        <v>2.48</v>
      </c>
      <c r="AH17" s="34">
        <v>1.24</v>
      </c>
    </row>
    <row r="18" spans="1:34" ht="56.25">
      <c r="A18" s="42" t="s">
        <v>23</v>
      </c>
      <c r="B18" s="53" t="s">
        <v>24</v>
      </c>
      <c r="C18" s="34">
        <v>4.47</v>
      </c>
      <c r="D18" s="34">
        <v>5.18</v>
      </c>
      <c r="E18" s="42">
        <f t="shared" si="0"/>
        <v>20496.6</v>
      </c>
      <c r="F18" s="99">
        <f>F20+F22+F24+F26+F28+F29+F31</f>
        <v>9247.84</v>
      </c>
      <c r="G18" s="42">
        <f t="shared" si="1"/>
        <v>22004.64</v>
      </c>
      <c r="H18" s="53">
        <f t="shared" si="2"/>
        <v>4.6932138284097</v>
      </c>
      <c r="I18" s="18">
        <f t="shared" si="3"/>
        <v>5.008002560798399</v>
      </c>
      <c r="J18" s="19">
        <f>J17</f>
        <v>0</v>
      </c>
      <c r="K18">
        <v>6</v>
      </c>
      <c r="L18">
        <v>2</v>
      </c>
      <c r="M18">
        <v>4</v>
      </c>
      <c r="N18" s="20">
        <f t="shared" si="4"/>
        <v>0</v>
      </c>
      <c r="O18" s="20" t="e">
        <f>J18*#REF!*L18</f>
        <v>#REF!</v>
      </c>
      <c r="P18" s="20">
        <f t="shared" si="5"/>
        <v>0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0</v>
      </c>
      <c r="W18">
        <f t="shared" si="8"/>
        <v>0</v>
      </c>
      <c r="X18">
        <f t="shared" si="9"/>
        <v>0</v>
      </c>
      <c r="AF18">
        <f>AF17</f>
        <v>354</v>
      </c>
      <c r="AG18" s="22">
        <f t="shared" si="10"/>
        <v>9.649999999999999</v>
      </c>
      <c r="AH18" s="34">
        <v>5.18</v>
      </c>
    </row>
    <row r="19" spans="1:34" ht="18.75">
      <c r="A19" s="42"/>
      <c r="B19" s="42" t="s">
        <v>765</v>
      </c>
      <c r="C19" s="75"/>
      <c r="D19" s="75"/>
      <c r="E19" s="42"/>
      <c r="F19" s="99"/>
      <c r="G19" s="42"/>
      <c r="H19" s="53"/>
      <c r="I19" s="18"/>
      <c r="J19" s="19"/>
      <c r="N19" s="20"/>
      <c r="O19" s="20"/>
      <c r="P19" s="20"/>
      <c r="Q19" s="21"/>
      <c r="R19" s="22"/>
      <c r="S19" s="22"/>
      <c r="AG19" s="22"/>
      <c r="AH19" s="7"/>
    </row>
    <row r="20" spans="1:34" ht="18.75">
      <c r="A20" s="42"/>
      <c r="B20" s="53" t="s">
        <v>270</v>
      </c>
      <c r="C20" s="75"/>
      <c r="D20" s="75"/>
      <c r="E20" s="42"/>
      <c r="F20" s="99">
        <v>95.52</v>
      </c>
      <c r="G20" s="42"/>
      <c r="H20" s="53"/>
      <c r="I20" s="18"/>
      <c r="J20" s="19"/>
      <c r="N20" s="20"/>
      <c r="O20" s="20"/>
      <c r="P20" s="20"/>
      <c r="Q20" s="21"/>
      <c r="R20" s="22"/>
      <c r="S20" s="22"/>
      <c r="AG20" s="22"/>
      <c r="AH20" s="7"/>
    </row>
    <row r="21" spans="1:34" ht="18.75">
      <c r="A21" s="42"/>
      <c r="B21" s="42" t="s">
        <v>221</v>
      </c>
      <c r="C21" s="75"/>
      <c r="D21" s="75"/>
      <c r="E21" s="42"/>
      <c r="F21" s="99"/>
      <c r="G21" s="42"/>
      <c r="H21" s="53"/>
      <c r="I21" s="18"/>
      <c r="J21" s="19"/>
      <c r="N21" s="20"/>
      <c r="O21" s="20"/>
      <c r="P21" s="20"/>
      <c r="Q21" s="21"/>
      <c r="R21" s="22"/>
      <c r="S21" s="22"/>
      <c r="AG21" s="22"/>
      <c r="AH21" s="7"/>
    </row>
    <row r="22" spans="1:34" ht="37.5">
      <c r="A22" s="42"/>
      <c r="B22" s="53" t="s">
        <v>783</v>
      </c>
      <c r="C22" s="75"/>
      <c r="D22" s="75"/>
      <c r="E22" s="42"/>
      <c r="F22" s="99">
        <v>4015.8</v>
      </c>
      <c r="G22" s="42"/>
      <c r="H22" s="53"/>
      <c r="I22" s="18"/>
      <c r="J22" s="19"/>
      <c r="N22" s="20"/>
      <c r="O22" s="20"/>
      <c r="P22" s="20"/>
      <c r="Q22" s="21"/>
      <c r="R22" s="22"/>
      <c r="S22" s="22"/>
      <c r="AG22" s="22"/>
      <c r="AH22" s="7"/>
    </row>
    <row r="23" spans="1:34" ht="18.75">
      <c r="A23" s="42"/>
      <c r="B23" s="42" t="s">
        <v>371</v>
      </c>
      <c r="C23" s="75"/>
      <c r="D23" s="75"/>
      <c r="E23" s="42"/>
      <c r="F23" s="99"/>
      <c r="G23" s="42"/>
      <c r="H23" s="53"/>
      <c r="I23" s="18"/>
      <c r="J23" s="19"/>
      <c r="N23" s="20"/>
      <c r="O23" s="20"/>
      <c r="P23" s="20"/>
      <c r="Q23" s="21"/>
      <c r="R23" s="22"/>
      <c r="S23" s="22"/>
      <c r="AG23" s="22"/>
      <c r="AH23" s="7"/>
    </row>
    <row r="24" spans="1:34" ht="18.75">
      <c r="A24" s="42"/>
      <c r="B24" s="53" t="s">
        <v>718</v>
      </c>
      <c r="C24" s="75"/>
      <c r="D24" s="75"/>
      <c r="E24" s="42"/>
      <c r="F24" s="99">
        <v>124.58</v>
      </c>
      <c r="G24" s="42"/>
      <c r="H24" s="53"/>
      <c r="I24" s="18"/>
      <c r="J24" s="19"/>
      <c r="N24" s="20"/>
      <c r="O24" s="20"/>
      <c r="P24" s="20"/>
      <c r="Q24" s="21"/>
      <c r="R24" s="22"/>
      <c r="S24" s="22"/>
      <c r="AG24" s="22"/>
      <c r="AH24" s="7"/>
    </row>
    <row r="25" spans="1:34" ht="18.75">
      <c r="A25" s="42"/>
      <c r="B25" s="42" t="s">
        <v>124</v>
      </c>
      <c r="C25" s="75"/>
      <c r="D25" s="75"/>
      <c r="E25" s="42"/>
      <c r="F25" s="99"/>
      <c r="G25" s="42"/>
      <c r="H25" s="53"/>
      <c r="I25" s="18"/>
      <c r="J25" s="19"/>
      <c r="N25" s="20"/>
      <c r="O25" s="20"/>
      <c r="P25" s="20"/>
      <c r="Q25" s="21"/>
      <c r="R25" s="22"/>
      <c r="S25" s="22"/>
      <c r="AG25" s="22"/>
      <c r="AH25" s="7"/>
    </row>
    <row r="26" spans="1:34" ht="18.75">
      <c r="A26" s="42"/>
      <c r="B26" s="53" t="s">
        <v>784</v>
      </c>
      <c r="C26" s="75"/>
      <c r="D26" s="75"/>
      <c r="E26" s="42"/>
      <c r="F26" s="99">
        <v>1298.45</v>
      </c>
      <c r="G26" s="42"/>
      <c r="H26" s="53"/>
      <c r="I26" s="18"/>
      <c r="J26" s="19"/>
      <c r="N26" s="20"/>
      <c r="O26" s="20"/>
      <c r="P26" s="20"/>
      <c r="Q26" s="21"/>
      <c r="R26" s="22"/>
      <c r="S26" s="22"/>
      <c r="AG26" s="22"/>
      <c r="AH26" s="7"/>
    </row>
    <row r="27" spans="1:24" ht="18.75">
      <c r="A27" s="53"/>
      <c r="B27" s="42" t="s">
        <v>785</v>
      </c>
      <c r="C27" s="74"/>
      <c r="D27" s="74"/>
      <c r="E27" s="42"/>
      <c r="F27" s="99"/>
      <c r="G27" s="42"/>
      <c r="H27" s="53"/>
      <c r="I27" s="18"/>
      <c r="J27" s="19"/>
      <c r="N27" s="20"/>
      <c r="Q27" s="24"/>
      <c r="R27" s="22"/>
      <c r="S27" s="22"/>
      <c r="T27" s="22"/>
      <c r="U27" s="22"/>
      <c r="V27" s="22"/>
      <c r="W27" s="22"/>
      <c r="X27" s="22"/>
    </row>
    <row r="28" spans="1:24" ht="18.75">
      <c r="A28" s="53"/>
      <c r="B28" s="53" t="s">
        <v>771</v>
      </c>
      <c r="C28" s="74"/>
      <c r="D28" s="74"/>
      <c r="E28" s="42"/>
      <c r="F28" s="99">
        <v>747.48</v>
      </c>
      <c r="G28" s="42"/>
      <c r="H28" s="53"/>
      <c r="I28" s="18"/>
      <c r="J28" s="19"/>
      <c r="N28" s="20"/>
      <c r="Q28" s="24"/>
      <c r="R28" s="22"/>
      <c r="S28" s="22"/>
      <c r="T28" s="22"/>
      <c r="U28" s="22"/>
      <c r="V28" s="22"/>
      <c r="W28" s="22"/>
      <c r="X28" s="22"/>
    </row>
    <row r="29" spans="1:24" ht="18.75">
      <c r="A29" s="53"/>
      <c r="B29" s="53" t="s">
        <v>734</v>
      </c>
      <c r="C29" s="74"/>
      <c r="D29" s="74"/>
      <c r="E29" s="42"/>
      <c r="F29" s="99">
        <v>198.46</v>
      </c>
      <c r="G29" s="42"/>
      <c r="H29" s="53"/>
      <c r="I29" s="18"/>
      <c r="J29" s="19"/>
      <c r="N29" s="20"/>
      <c r="Q29" s="24"/>
      <c r="R29" s="22"/>
      <c r="S29" s="22"/>
      <c r="T29" s="22"/>
      <c r="U29" s="22"/>
      <c r="V29" s="22"/>
      <c r="W29" s="22"/>
      <c r="X29" s="22"/>
    </row>
    <row r="30" spans="1:24" ht="18.75">
      <c r="A30" s="53"/>
      <c r="B30" s="42" t="s">
        <v>96</v>
      </c>
      <c r="C30" s="74"/>
      <c r="D30" s="74"/>
      <c r="E30" s="42"/>
      <c r="F30" s="99"/>
      <c r="G30" s="42"/>
      <c r="H30" s="53"/>
      <c r="I30" s="18"/>
      <c r="J30" s="19"/>
      <c r="N30" s="20"/>
      <c r="Q30" s="24"/>
      <c r="R30" s="22"/>
      <c r="S30" s="22"/>
      <c r="T30" s="22"/>
      <c r="U30" s="22"/>
      <c r="V30" s="22"/>
      <c r="W30" s="22"/>
      <c r="X30" s="22"/>
    </row>
    <row r="31" spans="1:24" ht="18.75">
      <c r="A31" s="53"/>
      <c r="B31" s="53" t="s">
        <v>786</v>
      </c>
      <c r="C31" s="74"/>
      <c r="D31" s="74"/>
      <c r="E31" s="42"/>
      <c r="F31" s="99">
        <v>2767.55</v>
      </c>
      <c r="G31" s="42"/>
      <c r="H31" s="53"/>
      <c r="I31" s="18"/>
      <c r="J31" s="19"/>
      <c r="N31" s="20"/>
      <c r="Q31" s="24"/>
      <c r="R31" s="22"/>
      <c r="S31" s="22"/>
      <c r="T31" s="22"/>
      <c r="U31" s="22"/>
      <c r="V31" s="22"/>
      <c r="W31" s="22"/>
      <c r="X31" s="22"/>
    </row>
    <row r="32" spans="1:24" ht="42" customHeight="1">
      <c r="A32" s="53"/>
      <c r="B32" s="14" t="s">
        <v>943</v>
      </c>
      <c r="C32" s="74"/>
      <c r="D32" s="74"/>
      <c r="E32" s="42"/>
      <c r="F32" s="99"/>
      <c r="G32" s="42"/>
      <c r="H32" s="53"/>
      <c r="I32" s="18"/>
      <c r="J32" s="19"/>
      <c r="N32" s="20"/>
      <c r="Q32" s="24"/>
      <c r="R32" s="22"/>
      <c r="S32" s="22"/>
      <c r="T32" s="22"/>
      <c r="U32" s="22"/>
      <c r="V32" s="22"/>
      <c r="W32" s="22"/>
      <c r="X32" s="22"/>
    </row>
    <row r="33" spans="1:24" ht="18.75">
      <c r="A33" s="13"/>
      <c r="B33" s="54" t="s">
        <v>79</v>
      </c>
      <c r="C33" s="74">
        <f>SUM(C13:C31)</f>
        <v>9.01</v>
      </c>
      <c r="D33" s="74">
        <f>SUM(D13:D31)</f>
        <v>9.6</v>
      </c>
      <c r="E33" s="42">
        <f>SUM(E13:E31)-0.02</f>
        <v>39527.62</v>
      </c>
      <c r="F33" s="42">
        <f>F13+F14+F15+F16+F17+F18</f>
        <v>28278.879999999997</v>
      </c>
      <c r="G33" s="42">
        <f>G13+G14+G15+G16+G17+G18</f>
        <v>40780.8</v>
      </c>
      <c r="H33" s="53"/>
      <c r="I33" s="2"/>
      <c r="J33" s="19" t="e">
        <f>#REF!</f>
        <v>#REF!</v>
      </c>
      <c r="K33">
        <v>10</v>
      </c>
      <c r="L33">
        <v>2</v>
      </c>
      <c r="N33" s="20" t="e">
        <f>C33*J33*K33</f>
        <v>#REF!</v>
      </c>
      <c r="O33" s="20" t="e">
        <f>D33*J33*L33</f>
        <v>#REF!</v>
      </c>
      <c r="P33" s="20" t="e">
        <f>SUM(N33:O33)</f>
        <v>#REF!</v>
      </c>
      <c r="Q33" s="21"/>
      <c r="R33" s="22">
        <v>1.47</v>
      </c>
      <c r="S33">
        <v>1.58</v>
      </c>
      <c r="T33">
        <v>6</v>
      </c>
      <c r="U33">
        <v>6</v>
      </c>
      <c r="V33" t="e">
        <f>R33*J33*T33</f>
        <v>#REF!</v>
      </c>
      <c r="W33" t="e">
        <f>S33*U33*J33</f>
        <v>#REF!</v>
      </c>
      <c r="X33" t="e">
        <f>SUM(V33:W33)</f>
        <v>#REF!</v>
      </c>
    </row>
    <row r="34" spans="1:34" ht="20.25">
      <c r="A34" s="13">
        <v>5</v>
      </c>
      <c r="B34" s="54" t="s">
        <v>26</v>
      </c>
      <c r="C34" s="127">
        <v>1.58</v>
      </c>
      <c r="D34" s="127">
        <v>1.85</v>
      </c>
      <c r="E34" s="128">
        <f>AF34*AG34*6</f>
        <v>6478.200000000001</v>
      </c>
      <c r="F34" s="129">
        <f>E34</f>
        <v>6478.200000000001</v>
      </c>
      <c r="G34" s="129">
        <f>AH34*12*AF34</f>
        <v>8028.72</v>
      </c>
      <c r="H34" s="69" t="e">
        <f>#REF!</f>
        <v>#REF!</v>
      </c>
      <c r="I34" s="22">
        <f>C34+D34</f>
        <v>3.43</v>
      </c>
      <c r="J34" s="34">
        <v>3.43</v>
      </c>
      <c r="K34">
        <v>10</v>
      </c>
      <c r="L34">
        <v>2</v>
      </c>
      <c r="N34" s="20">
        <f>C34*J34*K34</f>
        <v>54.194</v>
      </c>
      <c r="O34" s="20" t="e">
        <f>#REF!*J34*L34</f>
        <v>#REF!</v>
      </c>
      <c r="P34" s="20" t="e">
        <f>SUM(N34:O34)</f>
        <v>#REF!</v>
      </c>
      <c r="Q34" s="21"/>
      <c r="R34" s="22">
        <v>1.47</v>
      </c>
      <c r="S34">
        <v>1.58</v>
      </c>
      <c r="T34">
        <v>6</v>
      </c>
      <c r="U34">
        <v>6</v>
      </c>
      <c r="V34">
        <f>R34*J34*T34</f>
        <v>30.2526</v>
      </c>
      <c r="W34">
        <f>S34*U34*J34</f>
        <v>32.516400000000004</v>
      </c>
      <c r="X34">
        <f>SUM(V34:W34)</f>
        <v>62.769000000000005</v>
      </c>
      <c r="AD34" s="69">
        <f>C6</f>
        <v>0</v>
      </c>
      <c r="AE34">
        <v>3.05</v>
      </c>
      <c r="AF34" s="69">
        <f>C7</f>
        <v>354</v>
      </c>
      <c r="AG34">
        <v>3.05</v>
      </c>
      <c r="AH34">
        <v>1.89</v>
      </c>
    </row>
    <row r="35" spans="1:32" ht="20.25">
      <c r="A35" s="5"/>
      <c r="B35" s="56"/>
      <c r="C35" s="131"/>
      <c r="D35" s="131"/>
      <c r="E35" s="132"/>
      <c r="F35" s="133"/>
      <c r="G35" s="133"/>
      <c r="H35" s="69"/>
      <c r="I35" s="22"/>
      <c r="J35" s="7"/>
      <c r="N35" s="20"/>
      <c r="O35" s="20"/>
      <c r="P35" s="20"/>
      <c r="Q35" s="21"/>
      <c r="R35" s="22"/>
      <c r="AD35" s="69"/>
      <c r="AF35" s="69"/>
    </row>
    <row r="36" spans="1:32" ht="20.25">
      <c r="A36" s="5"/>
      <c r="B36" s="56"/>
      <c r="C36" s="131"/>
      <c r="D36" s="131"/>
      <c r="E36" s="132"/>
      <c r="F36" s="133"/>
      <c r="G36" s="133"/>
      <c r="H36" s="69"/>
      <c r="I36" s="22"/>
      <c r="J36" s="7"/>
      <c r="N36" s="20"/>
      <c r="O36" s="20"/>
      <c r="P36" s="20"/>
      <c r="Q36" s="21"/>
      <c r="R36" s="22"/>
      <c r="AD36" s="69"/>
      <c r="AF36" s="69"/>
    </row>
    <row r="37" spans="1:17" ht="18.75" customHeight="1">
      <c r="A37" s="179" t="s">
        <v>941</v>
      </c>
      <c r="B37" s="179"/>
      <c r="C37" s="251">
        <v>7739.66</v>
      </c>
      <c r="D37" s="251"/>
      <c r="E37" s="55" t="s">
        <v>18</v>
      </c>
      <c r="F37" s="55"/>
      <c r="G37" s="55"/>
      <c r="H37" s="55"/>
      <c r="Q37" s="24"/>
    </row>
    <row r="38" spans="1:17" ht="18.75" customHeight="1">
      <c r="A38" s="179" t="s">
        <v>942</v>
      </c>
      <c r="B38" s="179"/>
      <c r="C38" s="193">
        <v>6020.11</v>
      </c>
      <c r="D38" s="193"/>
      <c r="E38" s="55" t="s">
        <v>18</v>
      </c>
      <c r="F38" s="55"/>
      <c r="G38" s="55"/>
      <c r="H38" s="55"/>
      <c r="Q38" s="24"/>
    </row>
    <row r="39" spans="1:8" ht="18.75">
      <c r="A39" s="207" t="s">
        <v>17</v>
      </c>
      <c r="B39" s="207"/>
      <c r="C39" s="207"/>
      <c r="D39" s="207"/>
      <c r="E39" s="207"/>
      <c r="F39" s="207"/>
      <c r="G39" s="207"/>
      <c r="H39" s="55"/>
    </row>
    <row r="40" spans="1:8" ht="18.75" customHeight="1" hidden="1">
      <c r="A40" s="206" t="s">
        <v>35</v>
      </c>
      <c r="B40" s="206"/>
      <c r="C40" s="52" t="e">
        <f>#REF!-#REF!</f>
        <v>#REF!</v>
      </c>
      <c r="D40" s="55" t="s">
        <v>18</v>
      </c>
      <c r="E40" s="55"/>
      <c r="F40" s="55"/>
      <c r="G40" s="55"/>
      <c r="H40" s="55"/>
    </row>
    <row r="41" spans="1:8" ht="18.75" customHeight="1" hidden="1">
      <c r="A41" s="206" t="s">
        <v>36</v>
      </c>
      <c r="B41" s="206"/>
      <c r="C41" s="96" t="e">
        <f>#REF!-#REF!</f>
        <v>#REF!</v>
      </c>
      <c r="D41" s="96" t="str">
        <f>D40</f>
        <v>рублей</v>
      </c>
      <c r="E41" s="59"/>
      <c r="F41" s="59"/>
      <c r="G41" s="59"/>
      <c r="H41" s="55"/>
    </row>
    <row r="42" spans="1:8" ht="18.75">
      <c r="A42" s="59"/>
      <c r="B42" s="59"/>
      <c r="C42" s="59"/>
      <c r="D42" s="59"/>
      <c r="E42" s="59"/>
      <c r="F42" s="59"/>
      <c r="G42" s="59"/>
      <c r="H42" s="59"/>
    </row>
    <row r="43" spans="1:8" ht="18.75">
      <c r="A43" s="59"/>
      <c r="B43" s="59"/>
      <c r="C43" s="59"/>
      <c r="D43" s="59"/>
      <c r="E43" s="59"/>
      <c r="F43" s="59"/>
      <c r="G43" s="59"/>
      <c r="H43" s="59"/>
    </row>
    <row r="44" spans="1:8" ht="18.75">
      <c r="A44" s="59"/>
      <c r="B44" s="59"/>
      <c r="C44" s="59"/>
      <c r="D44" s="59"/>
      <c r="E44" s="59"/>
      <c r="F44" s="59"/>
      <c r="G44" s="59"/>
      <c r="H44" s="59"/>
    </row>
    <row r="45" spans="1:8" ht="18.75">
      <c r="A45" s="59"/>
      <c r="B45" s="59"/>
      <c r="C45" s="59"/>
      <c r="D45" s="59"/>
      <c r="E45" s="59"/>
      <c r="F45" s="59"/>
      <c r="G45" s="59"/>
      <c r="H45" s="59"/>
    </row>
    <row r="46" spans="1:8" ht="18.75">
      <c r="A46" s="59"/>
      <c r="B46" s="59"/>
      <c r="C46" s="59"/>
      <c r="D46" s="59"/>
      <c r="E46" s="59"/>
      <c r="F46" s="59"/>
      <c r="G46" s="59"/>
      <c r="H46" s="59"/>
    </row>
  </sheetData>
  <sheetProtection/>
  <mergeCells count="18">
    <mergeCell ref="A1:G2"/>
    <mergeCell ref="A3:G3"/>
    <mergeCell ref="A4:H5"/>
    <mergeCell ref="A9:A11"/>
    <mergeCell ref="B9:B11"/>
    <mergeCell ref="C9:D10"/>
    <mergeCell ref="F9:F11"/>
    <mergeCell ref="G9:G11"/>
    <mergeCell ref="A40:B40"/>
    <mergeCell ref="A41:B41"/>
    <mergeCell ref="E9:E11"/>
    <mergeCell ref="A38:B38"/>
    <mergeCell ref="J9:Q12"/>
    <mergeCell ref="R9:X12"/>
    <mergeCell ref="A37:B37"/>
    <mergeCell ref="A39:G39"/>
    <mergeCell ref="C38:D38"/>
    <mergeCell ref="C37:D3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7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R66"/>
  <sheetViews>
    <sheetView view="pageBreakPreview" zoomScale="75" zoomScaleSheetLayoutView="75" zoomScalePageLayoutView="0" workbookViewId="0" topLeftCell="A28">
      <selection activeCell="E58" sqref="E58"/>
    </sheetView>
  </sheetViews>
  <sheetFormatPr defaultColWidth="9.00390625" defaultRowHeight="12.75"/>
  <cols>
    <col min="1" max="1" width="9.25390625" style="0" bestFit="1" customWidth="1"/>
    <col min="2" max="2" width="47.875" style="0" customWidth="1"/>
    <col min="3" max="3" width="11.25390625" style="0" customWidth="1"/>
    <col min="4" max="4" width="13.00390625" style="0" customWidth="1"/>
    <col min="5" max="6" width="13.625" style="0" customWidth="1"/>
    <col min="7" max="7" width="13.25390625" style="0" customWidth="1"/>
  </cols>
  <sheetData>
    <row r="1" spans="1:7" ht="12.75">
      <c r="A1" s="179" t="s">
        <v>25</v>
      </c>
      <c r="B1" s="179"/>
      <c r="C1" s="179"/>
      <c r="D1" s="179"/>
      <c r="E1" s="179"/>
      <c r="F1" s="179"/>
      <c r="G1" s="179"/>
    </row>
    <row r="2" spans="1:7" ht="12.75">
      <c r="A2" s="179"/>
      <c r="B2" s="179"/>
      <c r="C2" s="179"/>
      <c r="D2" s="179"/>
      <c r="E2" s="179"/>
      <c r="F2" s="179"/>
      <c r="G2" s="179"/>
    </row>
    <row r="3" spans="1:7" ht="35.25" customHeight="1">
      <c r="A3" s="182" t="s">
        <v>38</v>
      </c>
      <c r="B3" s="182"/>
      <c r="C3" s="182"/>
      <c r="D3" s="182"/>
      <c r="E3" s="182"/>
      <c r="F3" s="182"/>
      <c r="G3" s="182"/>
    </row>
    <row r="4" spans="1:7" ht="12.75">
      <c r="A4" s="179" t="s">
        <v>110</v>
      </c>
      <c r="B4" s="179"/>
      <c r="C4" s="179"/>
      <c r="D4" s="179"/>
      <c r="E4" s="179"/>
      <c r="F4" s="179"/>
      <c r="G4" s="179"/>
    </row>
    <row r="5" spans="1:7" ht="12.75">
      <c r="A5" s="179"/>
      <c r="B5" s="179"/>
      <c r="C5" s="179"/>
      <c r="D5" s="179"/>
      <c r="E5" s="179"/>
      <c r="F5" s="179"/>
      <c r="G5" s="179"/>
    </row>
    <row r="6" spans="1:7" ht="18.75">
      <c r="A6" s="5"/>
      <c r="B6" s="5"/>
      <c r="C6" s="5"/>
      <c r="D6" s="5"/>
      <c r="E6" s="5"/>
      <c r="F6" s="5"/>
      <c r="G6" s="5"/>
    </row>
    <row r="7" spans="1:7" ht="18.75">
      <c r="A7" s="8"/>
      <c r="B7" s="9" t="s">
        <v>5</v>
      </c>
      <c r="C7" s="5">
        <v>2728</v>
      </c>
      <c r="E7" s="10"/>
      <c r="F7" s="10"/>
      <c r="G7" s="10"/>
    </row>
    <row r="8" spans="1:7" ht="18.75">
      <c r="A8" s="8"/>
      <c r="B8" s="5"/>
      <c r="C8" s="5"/>
      <c r="D8" s="5"/>
      <c r="E8" s="5"/>
      <c r="F8" s="5"/>
      <c r="G8" s="5"/>
    </row>
    <row r="9" spans="1:7" ht="18.75" customHeight="1">
      <c r="A9" s="184" t="s">
        <v>8</v>
      </c>
      <c r="B9" s="184" t="s">
        <v>6</v>
      </c>
      <c r="C9" s="185" t="s">
        <v>32</v>
      </c>
      <c r="D9" s="186"/>
      <c r="E9" s="189" t="s">
        <v>99</v>
      </c>
      <c r="F9" s="178" t="s">
        <v>74</v>
      </c>
      <c r="G9" s="178" t="s">
        <v>218</v>
      </c>
    </row>
    <row r="10" spans="1:7" ht="59.25" customHeight="1">
      <c r="A10" s="184"/>
      <c r="B10" s="184"/>
      <c r="C10" s="187"/>
      <c r="D10" s="188"/>
      <c r="E10" s="190"/>
      <c r="F10" s="178"/>
      <c r="G10" s="178"/>
    </row>
    <row r="11" spans="1:7" ht="82.5" customHeight="1">
      <c r="A11" s="184"/>
      <c r="B11" s="184"/>
      <c r="C11" s="87" t="s">
        <v>107</v>
      </c>
      <c r="D11" s="87" t="s">
        <v>106</v>
      </c>
      <c r="E11" s="191"/>
      <c r="F11" s="178"/>
      <c r="G11" s="178"/>
    </row>
    <row r="12" spans="1:7" ht="56.25">
      <c r="A12" s="13" t="s">
        <v>12</v>
      </c>
      <c r="B12" s="14" t="s">
        <v>20</v>
      </c>
      <c r="C12" s="13"/>
      <c r="D12" s="13"/>
      <c r="E12" s="13"/>
      <c r="F12" s="13"/>
      <c r="G12" s="13"/>
    </row>
    <row r="13" spans="1:10" ht="18.75">
      <c r="A13" s="15" t="s">
        <v>13</v>
      </c>
      <c r="B13" s="14" t="s">
        <v>10</v>
      </c>
      <c r="C13" s="34">
        <v>1.09</v>
      </c>
      <c r="D13" s="34">
        <v>1.14</v>
      </c>
      <c r="E13" s="32">
        <f aca="true" t="shared" si="0" ref="E13:E18">H13*I13*6</f>
        <v>36500.64</v>
      </c>
      <c r="F13" s="32">
        <f>E13</f>
        <v>36500.64</v>
      </c>
      <c r="G13" s="32">
        <f aca="true" t="shared" si="1" ref="G13:G18">J13*12*H13</f>
        <v>37319.04</v>
      </c>
      <c r="H13">
        <f>C7</f>
        <v>2728</v>
      </c>
      <c r="I13" s="22">
        <f aca="true" t="shared" si="2" ref="I13:I18">C13+D13</f>
        <v>2.23</v>
      </c>
      <c r="J13" s="34">
        <v>1.14</v>
      </c>
    </row>
    <row r="14" spans="1:10" ht="37.5">
      <c r="A14" s="15" t="s">
        <v>14</v>
      </c>
      <c r="B14" s="14" t="s">
        <v>15</v>
      </c>
      <c r="C14" s="34">
        <v>1.39</v>
      </c>
      <c r="D14" s="34">
        <v>1.46</v>
      </c>
      <c r="E14" s="32">
        <f t="shared" si="0"/>
        <v>46648.799999999996</v>
      </c>
      <c r="F14" s="32">
        <f>E14</f>
        <v>46648.799999999996</v>
      </c>
      <c r="G14" s="32">
        <f t="shared" si="1"/>
        <v>47794.56</v>
      </c>
      <c r="H14">
        <f>H13</f>
        <v>2728</v>
      </c>
      <c r="I14" s="22">
        <f t="shared" si="2"/>
        <v>2.8499999999999996</v>
      </c>
      <c r="J14" s="34">
        <v>1.46</v>
      </c>
    </row>
    <row r="15" spans="1:10" ht="18.75">
      <c r="A15" s="15" t="s">
        <v>16</v>
      </c>
      <c r="B15" s="14" t="s">
        <v>7</v>
      </c>
      <c r="C15" s="34"/>
      <c r="D15" s="34"/>
      <c r="E15" s="32"/>
      <c r="F15" s="32"/>
      <c r="G15" s="32"/>
      <c r="H15">
        <f>H14</f>
        <v>2728</v>
      </c>
      <c r="I15" s="22">
        <f t="shared" si="2"/>
        <v>0</v>
      </c>
      <c r="J15" s="34">
        <v>0</v>
      </c>
    </row>
    <row r="16" spans="1:10" ht="18.75">
      <c r="A16" s="15" t="s">
        <v>21</v>
      </c>
      <c r="B16" s="14" t="s">
        <v>11</v>
      </c>
      <c r="C16" s="34">
        <v>0.82</v>
      </c>
      <c r="D16" s="34">
        <v>0.58</v>
      </c>
      <c r="E16" s="32">
        <f t="shared" si="0"/>
        <v>22915.199999999997</v>
      </c>
      <c r="F16" s="32">
        <f>E16</f>
        <v>22915.199999999997</v>
      </c>
      <c r="G16" s="32">
        <f t="shared" si="1"/>
        <v>18986.879999999997</v>
      </c>
      <c r="H16">
        <f>H15</f>
        <v>2728</v>
      </c>
      <c r="I16" s="22">
        <f t="shared" si="2"/>
        <v>1.4</v>
      </c>
      <c r="J16" s="34">
        <v>0.58</v>
      </c>
    </row>
    <row r="17" spans="1:10" ht="18.75">
      <c r="A17" s="15" t="s">
        <v>22</v>
      </c>
      <c r="B17" s="14" t="s">
        <v>19</v>
      </c>
      <c r="C17" s="34">
        <v>1.24</v>
      </c>
      <c r="D17" s="34">
        <v>1.24</v>
      </c>
      <c r="E17" s="32">
        <f t="shared" si="0"/>
        <v>40592.64</v>
      </c>
      <c r="F17" s="32">
        <f>E17</f>
        <v>40592.64</v>
      </c>
      <c r="G17" s="32">
        <f t="shared" si="1"/>
        <v>40592.64</v>
      </c>
      <c r="H17">
        <f>H16</f>
        <v>2728</v>
      </c>
      <c r="I17" s="22">
        <f t="shared" si="2"/>
        <v>2.48</v>
      </c>
      <c r="J17" s="34">
        <v>1.24</v>
      </c>
    </row>
    <row r="18" spans="1:10" ht="75">
      <c r="A18" s="15" t="s">
        <v>23</v>
      </c>
      <c r="B18" s="14" t="s">
        <v>24</v>
      </c>
      <c r="C18" s="34">
        <v>4.47</v>
      </c>
      <c r="D18" s="34">
        <v>5.18</v>
      </c>
      <c r="E18" s="32">
        <f t="shared" si="0"/>
        <v>157951.19999999998</v>
      </c>
      <c r="F18" s="115">
        <f>F20+F21+F23+F24+F26+F27+F29+F30+F32+F33+F35+F36+F37+F39+F41+F42+F43+F45+F47+F48+F49+F51+F52+F54+F55+F56</f>
        <v>110373.05999999998</v>
      </c>
      <c r="G18" s="32">
        <f t="shared" si="1"/>
        <v>169572.47999999998</v>
      </c>
      <c r="H18">
        <f>H17</f>
        <v>2728</v>
      </c>
      <c r="I18" s="22">
        <f t="shared" si="2"/>
        <v>9.649999999999999</v>
      </c>
      <c r="J18" s="34">
        <v>5.18</v>
      </c>
    </row>
    <row r="19" spans="1:7" ht="18.75">
      <c r="A19" s="15"/>
      <c r="B19" s="34" t="s">
        <v>75</v>
      </c>
      <c r="C19" s="16"/>
      <c r="D19" s="16"/>
      <c r="E19" s="32"/>
      <c r="F19" s="101"/>
      <c r="G19" s="32"/>
    </row>
    <row r="20" spans="1:7" ht="38.25" customHeight="1">
      <c r="A20" s="15"/>
      <c r="B20" s="14" t="s">
        <v>219</v>
      </c>
      <c r="C20" s="16"/>
      <c r="D20" s="16"/>
      <c r="E20" s="32"/>
      <c r="F20" s="102">
        <v>3742.15</v>
      </c>
      <c r="G20" s="32"/>
    </row>
    <row r="21" spans="1:7" ht="18.75">
      <c r="A21" s="15"/>
      <c r="B21" s="14" t="s">
        <v>220</v>
      </c>
      <c r="C21" s="16"/>
      <c r="D21" s="16"/>
      <c r="E21" s="32"/>
      <c r="F21" s="101">
        <v>516.35</v>
      </c>
      <c r="G21" s="32"/>
    </row>
    <row r="22" spans="1:7" ht="18.75">
      <c r="A22" s="15"/>
      <c r="B22" s="33" t="s">
        <v>221</v>
      </c>
      <c r="C22" s="16"/>
      <c r="D22" s="16"/>
      <c r="E22" s="32"/>
      <c r="F22" s="115"/>
      <c r="G22" s="32"/>
    </row>
    <row r="23" spans="1:7" ht="54" customHeight="1">
      <c r="A23" s="15"/>
      <c r="B23" s="14" t="s">
        <v>222</v>
      </c>
      <c r="C23" s="16"/>
      <c r="D23" s="16"/>
      <c r="E23" s="32"/>
      <c r="F23" s="115">
        <v>11159.37</v>
      </c>
      <c r="G23" s="32"/>
    </row>
    <row r="24" spans="1:7" ht="37.5">
      <c r="A24" s="15"/>
      <c r="B24" s="14" t="s">
        <v>223</v>
      </c>
      <c r="C24" s="16"/>
      <c r="D24" s="16"/>
      <c r="E24" s="32"/>
      <c r="F24" s="115">
        <v>2144.57</v>
      </c>
      <c r="G24" s="32"/>
    </row>
    <row r="25" spans="1:7" ht="18.75">
      <c r="A25" s="15"/>
      <c r="B25" s="33" t="s">
        <v>89</v>
      </c>
      <c r="C25" s="16"/>
      <c r="D25" s="16"/>
      <c r="E25" s="32"/>
      <c r="F25" s="108"/>
      <c r="G25" s="32"/>
    </row>
    <row r="26" spans="1:7" ht="75">
      <c r="A26" s="15"/>
      <c r="B26" s="14" t="s">
        <v>224</v>
      </c>
      <c r="C26" s="16"/>
      <c r="D26" s="16"/>
      <c r="E26" s="32"/>
      <c r="F26" s="115">
        <v>10492.79</v>
      </c>
      <c r="G26" s="32"/>
    </row>
    <row r="27" spans="1:7" ht="37.5">
      <c r="A27" s="15"/>
      <c r="B27" s="14" t="s">
        <v>225</v>
      </c>
      <c r="C27" s="16"/>
      <c r="D27" s="16"/>
      <c r="E27" s="32"/>
      <c r="F27" s="115">
        <v>1780.6</v>
      </c>
      <c r="G27" s="32"/>
    </row>
    <row r="28" spans="1:7" ht="18.75">
      <c r="A28" s="15"/>
      <c r="B28" s="33" t="s">
        <v>90</v>
      </c>
      <c r="C28" s="16"/>
      <c r="D28" s="16"/>
      <c r="E28" s="32"/>
      <c r="F28" s="115"/>
      <c r="G28" s="32"/>
    </row>
    <row r="29" spans="1:7" ht="39" customHeight="1">
      <c r="A29" s="15"/>
      <c r="B29" s="14" t="s">
        <v>226</v>
      </c>
      <c r="C29" s="16"/>
      <c r="D29" s="16"/>
      <c r="E29" s="32"/>
      <c r="F29" s="115">
        <v>2672.9</v>
      </c>
      <c r="G29" s="32"/>
    </row>
    <row r="30" spans="1:7" ht="18.75">
      <c r="A30" s="15"/>
      <c r="B30" s="14" t="s">
        <v>227</v>
      </c>
      <c r="C30" s="16"/>
      <c r="D30" s="16"/>
      <c r="E30" s="32"/>
      <c r="F30" s="115">
        <v>202.65</v>
      </c>
      <c r="G30" s="32"/>
    </row>
    <row r="31" spans="1:7" ht="18.75">
      <c r="A31" s="15"/>
      <c r="B31" s="33" t="s">
        <v>91</v>
      </c>
      <c r="C31" s="16"/>
      <c r="D31" s="16"/>
      <c r="E31" s="32"/>
      <c r="F31" s="115"/>
      <c r="G31" s="32"/>
    </row>
    <row r="32" spans="1:7" ht="37.5">
      <c r="A32" s="15"/>
      <c r="B32" s="14" t="s">
        <v>228</v>
      </c>
      <c r="C32" s="16"/>
      <c r="D32" s="16"/>
      <c r="E32" s="32"/>
      <c r="F32" s="115">
        <v>9748.96</v>
      </c>
      <c r="G32" s="32"/>
    </row>
    <row r="33" spans="1:7" ht="18.75">
      <c r="A33" s="15"/>
      <c r="B33" s="14" t="s">
        <v>229</v>
      </c>
      <c r="C33" s="16"/>
      <c r="D33" s="16"/>
      <c r="E33" s="32"/>
      <c r="F33" s="115">
        <v>2721.67</v>
      </c>
      <c r="G33" s="32"/>
    </row>
    <row r="34" spans="1:7" ht="18.75">
      <c r="A34" s="15"/>
      <c r="B34" s="33" t="s">
        <v>92</v>
      </c>
      <c r="C34" s="16"/>
      <c r="D34" s="16"/>
      <c r="E34" s="32"/>
      <c r="F34" s="115"/>
      <c r="G34" s="32"/>
    </row>
    <row r="35" spans="1:7" ht="37.5">
      <c r="A35" s="15"/>
      <c r="B35" s="14" t="s">
        <v>230</v>
      </c>
      <c r="C35" s="16"/>
      <c r="D35" s="16"/>
      <c r="E35" s="32"/>
      <c r="F35" s="115">
        <v>3235.2</v>
      </c>
      <c r="G35" s="32"/>
    </row>
    <row r="36" spans="1:7" ht="18.75">
      <c r="A36" s="15"/>
      <c r="B36" s="14" t="s">
        <v>231</v>
      </c>
      <c r="C36" s="16"/>
      <c r="D36" s="16"/>
      <c r="E36" s="32"/>
      <c r="F36" s="115">
        <v>560.68</v>
      </c>
      <c r="G36" s="32"/>
    </row>
    <row r="37" spans="1:7" ht="18.75">
      <c r="A37" s="15"/>
      <c r="B37" s="14" t="s">
        <v>232</v>
      </c>
      <c r="C37" s="16"/>
      <c r="D37" s="16"/>
      <c r="E37" s="32"/>
      <c r="F37" s="115">
        <v>202.65</v>
      </c>
      <c r="G37" s="32"/>
    </row>
    <row r="38" spans="1:7" ht="18.75">
      <c r="A38" s="15"/>
      <c r="B38" s="33" t="s">
        <v>93</v>
      </c>
      <c r="C38" s="16"/>
      <c r="D38" s="16"/>
      <c r="E38" s="32"/>
      <c r="F38" s="108"/>
      <c r="G38" s="32"/>
    </row>
    <row r="39" spans="1:7" ht="18.75">
      <c r="A39" s="13"/>
      <c r="B39" s="14" t="s">
        <v>233</v>
      </c>
      <c r="C39" s="16"/>
      <c r="D39" s="16"/>
      <c r="E39" s="32"/>
      <c r="F39" s="108">
        <v>5540</v>
      </c>
      <c r="G39" s="32"/>
    </row>
    <row r="40" spans="1:7" ht="18.75">
      <c r="A40" s="13"/>
      <c r="B40" s="33" t="s">
        <v>94</v>
      </c>
      <c r="C40" s="16"/>
      <c r="D40" s="16"/>
      <c r="E40" s="32"/>
      <c r="F40" s="108"/>
      <c r="G40" s="32"/>
    </row>
    <row r="41" spans="1:7" ht="37.5">
      <c r="A41" s="13"/>
      <c r="B41" s="14" t="s">
        <v>234</v>
      </c>
      <c r="C41" s="16"/>
      <c r="D41" s="16"/>
      <c r="E41" s="32"/>
      <c r="F41" s="108">
        <v>10018.49</v>
      </c>
      <c r="G41" s="32"/>
    </row>
    <row r="42" spans="1:7" ht="18.75">
      <c r="A42" s="13"/>
      <c r="B42" s="14" t="s">
        <v>235</v>
      </c>
      <c r="C42" s="16"/>
      <c r="D42" s="16"/>
      <c r="E42" s="32"/>
      <c r="F42" s="108">
        <v>863.48</v>
      </c>
      <c r="G42" s="32"/>
    </row>
    <row r="43" spans="1:7" ht="37.5">
      <c r="A43" s="13"/>
      <c r="B43" s="14" t="s">
        <v>236</v>
      </c>
      <c r="C43" s="16"/>
      <c r="D43" s="16"/>
      <c r="E43" s="32"/>
      <c r="F43" s="108">
        <v>1943.04</v>
      </c>
      <c r="G43" s="32"/>
    </row>
    <row r="44" spans="1:7" ht="18.75">
      <c r="A44" s="13"/>
      <c r="B44" s="33" t="s">
        <v>98</v>
      </c>
      <c r="C44" s="16"/>
      <c r="D44" s="16"/>
      <c r="E44" s="32"/>
      <c r="F44" s="108"/>
      <c r="G44" s="32"/>
    </row>
    <row r="45" spans="1:7" ht="37.5">
      <c r="A45" s="13"/>
      <c r="B45" s="14" t="s">
        <v>237</v>
      </c>
      <c r="C45" s="16"/>
      <c r="D45" s="16"/>
      <c r="E45" s="32"/>
      <c r="F45" s="108">
        <v>11383.71</v>
      </c>
      <c r="G45" s="32"/>
    </row>
    <row r="46" spans="1:7" ht="18.75">
      <c r="A46" s="13"/>
      <c r="B46" s="33" t="s">
        <v>95</v>
      </c>
      <c r="C46" s="16"/>
      <c r="D46" s="16"/>
      <c r="E46" s="32"/>
      <c r="F46" s="108"/>
      <c r="G46" s="32"/>
    </row>
    <row r="47" spans="1:7" ht="75">
      <c r="A47" s="13"/>
      <c r="B47" s="14" t="s">
        <v>238</v>
      </c>
      <c r="C47" s="16"/>
      <c r="D47" s="16"/>
      <c r="E47" s="32"/>
      <c r="F47" s="108">
        <v>10287.54</v>
      </c>
      <c r="G47" s="32"/>
    </row>
    <row r="48" spans="1:7" ht="18.75">
      <c r="A48" s="13"/>
      <c r="B48" s="14" t="s">
        <v>231</v>
      </c>
      <c r="C48" s="16"/>
      <c r="D48" s="16"/>
      <c r="E48" s="32"/>
      <c r="F48" s="108">
        <v>1000.2</v>
      </c>
      <c r="G48" s="32"/>
    </row>
    <row r="49" spans="1:7" ht="18.75">
      <c r="A49" s="13"/>
      <c r="B49" s="14" t="s">
        <v>239</v>
      </c>
      <c r="C49" s="16"/>
      <c r="D49" s="16"/>
      <c r="E49" s="32"/>
      <c r="F49" s="108">
        <v>238.69</v>
      </c>
      <c r="G49" s="32"/>
    </row>
    <row r="50" spans="1:7" ht="18.75">
      <c r="A50" s="13"/>
      <c r="B50" s="33" t="s">
        <v>96</v>
      </c>
      <c r="C50" s="16"/>
      <c r="D50" s="16"/>
      <c r="E50" s="32"/>
      <c r="F50" s="108"/>
      <c r="G50" s="32"/>
    </row>
    <row r="51" spans="1:7" ht="37.5">
      <c r="A51" s="13"/>
      <c r="B51" s="14" t="s">
        <v>240</v>
      </c>
      <c r="C51" s="16"/>
      <c r="D51" s="16"/>
      <c r="E51" s="32"/>
      <c r="F51" s="108">
        <v>9483.82</v>
      </c>
      <c r="G51" s="32"/>
    </row>
    <row r="52" spans="1:7" ht="18.75">
      <c r="A52" s="13"/>
      <c r="B52" s="14" t="s">
        <v>241</v>
      </c>
      <c r="C52" s="16"/>
      <c r="D52" s="16"/>
      <c r="E52" s="32"/>
      <c r="F52" s="108">
        <v>285.81</v>
      </c>
      <c r="G52" s="32"/>
    </row>
    <row r="53" spans="1:7" ht="18.75">
      <c r="A53" s="13"/>
      <c r="B53" s="33" t="s">
        <v>97</v>
      </c>
      <c r="C53" s="16"/>
      <c r="D53" s="16"/>
      <c r="E53" s="32"/>
      <c r="F53" s="108"/>
      <c r="G53" s="32"/>
    </row>
    <row r="54" spans="1:7" ht="37.5">
      <c r="A54" s="13"/>
      <c r="B54" s="14" t="s">
        <v>251</v>
      </c>
      <c r="C54" s="16"/>
      <c r="D54" s="16"/>
      <c r="E54" s="32"/>
      <c r="F54" s="108">
        <v>4648.36</v>
      </c>
      <c r="G54" s="32"/>
    </row>
    <row r="55" spans="1:7" ht="17.25" customHeight="1">
      <c r="A55" s="13"/>
      <c r="B55" s="14" t="s">
        <v>252</v>
      </c>
      <c r="C55" s="16"/>
      <c r="D55" s="16"/>
      <c r="E55" s="32"/>
      <c r="F55" s="108">
        <v>2699.85</v>
      </c>
      <c r="G55" s="32"/>
    </row>
    <row r="56" spans="1:7" ht="41.25" customHeight="1">
      <c r="A56" s="13"/>
      <c r="B56" s="14" t="s">
        <v>253</v>
      </c>
      <c r="C56" s="16"/>
      <c r="D56" s="16"/>
      <c r="E56" s="32"/>
      <c r="F56" s="108">
        <v>2799.53</v>
      </c>
      <c r="G56" s="32"/>
    </row>
    <row r="57" spans="1:7" ht="58.5" customHeight="1">
      <c r="A57" s="13"/>
      <c r="B57" s="14" t="s">
        <v>943</v>
      </c>
      <c r="C57" s="16"/>
      <c r="D57" s="16"/>
      <c r="E57" s="32">
        <f>-3929.27+970.3</f>
        <v>-2958.9700000000003</v>
      </c>
      <c r="F57" s="108"/>
      <c r="G57" s="32"/>
    </row>
    <row r="58" spans="1:7" ht="18.75">
      <c r="A58" s="12"/>
      <c r="B58" s="14" t="s">
        <v>9</v>
      </c>
      <c r="C58" s="13">
        <f>SUM(C13:C39)</f>
        <v>9.01</v>
      </c>
      <c r="D58" s="13">
        <f>SUM(D13:D39)</f>
        <v>9.6</v>
      </c>
      <c r="E58" s="32">
        <f>SUM(E13:E39)+E57</f>
        <v>301649.51</v>
      </c>
      <c r="F58" s="32">
        <f>F13+F14+F15+F16+F17+F18</f>
        <v>257030.33999999997</v>
      </c>
      <c r="G58" s="32">
        <f>G13+G14+G15+G16+G17+G18</f>
        <v>314265.6</v>
      </c>
    </row>
    <row r="59" spans="1:44" ht="18.75">
      <c r="A59" s="13">
        <v>5</v>
      </c>
      <c r="B59" s="25" t="s">
        <v>26</v>
      </c>
      <c r="C59" s="108">
        <v>1.58</v>
      </c>
      <c r="D59" s="108">
        <v>1.85</v>
      </c>
      <c r="E59" s="98">
        <f>H59*I59*6</f>
        <v>56142.240000000005</v>
      </c>
      <c r="F59" s="101">
        <f>E59</f>
        <v>56142.240000000005</v>
      </c>
      <c r="G59" s="101">
        <f>J59*12*H59</f>
        <v>61871.04</v>
      </c>
      <c r="H59">
        <f>H18</f>
        <v>2728</v>
      </c>
      <c r="I59" s="22">
        <f>C59+D59</f>
        <v>3.43</v>
      </c>
      <c r="J59" s="34">
        <v>1.89</v>
      </c>
      <c r="R59" s="22"/>
      <c r="AP59">
        <f>C59+D59</f>
        <v>3.43</v>
      </c>
      <c r="AQ59" t="e">
        <f>#REF!</f>
        <v>#REF!</v>
      </c>
      <c r="AR59">
        <f>1.58+1.85</f>
        <v>3.43</v>
      </c>
    </row>
    <row r="60" spans="1:7" ht="18.75">
      <c r="A60" s="10"/>
      <c r="B60" s="26"/>
      <c r="C60" s="10"/>
      <c r="D60" s="10"/>
      <c r="E60" s="10"/>
      <c r="F60" s="10"/>
      <c r="G60" s="10"/>
    </row>
    <row r="61" spans="1:7" ht="18.75">
      <c r="A61" s="179" t="s">
        <v>941</v>
      </c>
      <c r="B61" s="179"/>
      <c r="C61" s="183">
        <v>42768.35</v>
      </c>
      <c r="D61" s="183"/>
      <c r="E61" s="6" t="s">
        <v>18</v>
      </c>
      <c r="F61" s="10"/>
      <c r="G61" s="10"/>
    </row>
    <row r="62" spans="1:7" ht="18.75">
      <c r="A62" s="179" t="s">
        <v>942</v>
      </c>
      <c r="B62" s="179"/>
      <c r="C62" s="183">
        <v>52156.65</v>
      </c>
      <c r="D62" s="183"/>
      <c r="E62" s="6" t="s">
        <v>18</v>
      </c>
      <c r="F62" s="10"/>
      <c r="G62" s="10"/>
    </row>
    <row r="63" spans="1:7" ht="18.75">
      <c r="A63" s="180" t="s">
        <v>17</v>
      </c>
      <c r="B63" s="180"/>
      <c r="C63" s="180"/>
      <c r="D63" s="180"/>
      <c r="E63" s="180"/>
      <c r="F63" s="180"/>
      <c r="G63" s="180"/>
    </row>
    <row r="64" spans="1:7" ht="18.75" customHeight="1" hidden="1">
      <c r="A64" s="181" t="s">
        <v>35</v>
      </c>
      <c r="B64" s="181"/>
      <c r="C64" s="5" t="e">
        <f>C61-#REF!</f>
        <v>#REF!</v>
      </c>
      <c r="D64" s="10" t="s">
        <v>18</v>
      </c>
      <c r="E64" s="10"/>
      <c r="F64" s="10"/>
      <c r="G64" s="10"/>
    </row>
    <row r="65" spans="1:4" ht="18.75" customHeight="1" hidden="1">
      <c r="A65" s="181" t="s">
        <v>36</v>
      </c>
      <c r="B65" s="181"/>
      <c r="C65" s="85">
        <f>E58-F58</f>
        <v>44619.17000000004</v>
      </c>
      <c r="D65" s="84" t="str">
        <f>D64</f>
        <v>рублей</v>
      </c>
    </row>
    <row r="66" spans="2:4" ht="12.75">
      <c r="B66" s="1"/>
      <c r="C66" s="1"/>
      <c r="D66" s="1"/>
    </row>
  </sheetData>
  <sheetProtection/>
  <mergeCells count="16">
    <mergeCell ref="E9:E11"/>
    <mergeCell ref="F9:F11"/>
    <mergeCell ref="A1:G2"/>
    <mergeCell ref="A3:G3"/>
    <mergeCell ref="A4:G5"/>
    <mergeCell ref="A9:A11"/>
    <mergeCell ref="B9:B11"/>
    <mergeCell ref="C9:D10"/>
    <mergeCell ref="G9:G11"/>
    <mergeCell ref="C61:D61"/>
    <mergeCell ref="A63:G63"/>
    <mergeCell ref="C62:D62"/>
    <mergeCell ref="A61:B61"/>
    <mergeCell ref="A64:B64"/>
    <mergeCell ref="A65:B65"/>
    <mergeCell ref="A62:B6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  <rowBreaks count="1" manualBreakCount="1">
    <brk id="3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A54"/>
  <sheetViews>
    <sheetView view="pageBreakPreview" zoomScale="75" zoomScaleSheetLayoutView="75" zoomScalePageLayoutView="0" workbookViewId="0" topLeftCell="A1">
      <selection activeCell="A1" sqref="A1:G2"/>
    </sheetView>
  </sheetViews>
  <sheetFormatPr defaultColWidth="9.00390625" defaultRowHeight="12.75"/>
  <cols>
    <col min="2" max="2" width="43.00390625" style="0" customWidth="1"/>
    <col min="3" max="3" width="11.00390625" style="0" customWidth="1"/>
    <col min="4" max="4" width="10.625" style="0" customWidth="1"/>
    <col min="5" max="6" width="14.00390625" style="0" customWidth="1"/>
    <col min="7" max="7" width="15.875" style="0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2" width="9.25390625" style="0" hidden="1" customWidth="1"/>
    <col min="23" max="24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43.5" customHeight="1">
      <c r="A3" s="182" t="s">
        <v>39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925.7</v>
      </c>
      <c r="D7" s="27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184" t="s">
        <v>8</v>
      </c>
      <c r="B9" s="184" t="s">
        <v>6</v>
      </c>
      <c r="C9" s="185" t="s">
        <v>32</v>
      </c>
      <c r="D9" s="186"/>
      <c r="E9" s="189" t="s">
        <v>99</v>
      </c>
      <c r="F9" s="178" t="s">
        <v>74</v>
      </c>
      <c r="G9" s="178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57" customHeight="1">
      <c r="A10" s="184"/>
      <c r="B10" s="184"/>
      <c r="C10" s="187"/>
      <c r="D10" s="188"/>
      <c r="E10" s="190"/>
      <c r="F10" s="178"/>
      <c r="G10" s="178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82.5" customHeight="1">
      <c r="A11" s="184"/>
      <c r="B11" s="184"/>
      <c r="C11" s="87" t="s">
        <v>107</v>
      </c>
      <c r="D11" s="87" t="s">
        <v>106</v>
      </c>
      <c r="E11" s="191"/>
      <c r="F11" s="178"/>
      <c r="G11" s="178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75">
      <c r="A12" s="13" t="s">
        <v>12</v>
      </c>
      <c r="B12" s="14" t="s">
        <v>20</v>
      </c>
      <c r="C12" s="13"/>
      <c r="D12" s="13"/>
      <c r="E12" s="13"/>
      <c r="F12" s="13"/>
      <c r="G12" s="1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27" ht="18.75">
      <c r="A13" s="15" t="s">
        <v>13</v>
      </c>
      <c r="B13" s="14" t="s">
        <v>10</v>
      </c>
      <c r="C13" s="34">
        <v>1.09</v>
      </c>
      <c r="D13" s="34">
        <v>1.14</v>
      </c>
      <c r="E13" s="32">
        <f aca="true" t="shared" si="0" ref="E13:E18">Y13*Z13*6</f>
        <v>12385.866000000002</v>
      </c>
      <c r="F13" s="16">
        <f>E13</f>
        <v>12385.866000000002</v>
      </c>
      <c r="G13" s="16">
        <f aca="true" t="shared" si="1" ref="G13:G18">AA13*12*Y13</f>
        <v>12552.492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925.7</v>
      </c>
      <c r="K13">
        <v>6</v>
      </c>
      <c r="L13">
        <v>2</v>
      </c>
      <c r="M13">
        <v>4</v>
      </c>
      <c r="N13" s="20">
        <f aca="true" t="shared" si="4" ref="N13:N18">C13*J13*K13</f>
        <v>6054.078000000001</v>
      </c>
      <c r="O13" s="20" t="e">
        <f>J13*#REF!*L13</f>
        <v>#REF!</v>
      </c>
      <c r="P13" s="20">
        <f aca="true" t="shared" si="5" ref="P13:P18">D13*J13*M13</f>
        <v>4221.192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5831.910000000001</v>
      </c>
      <c r="W13">
        <f aca="true" t="shared" si="8" ref="W13:W18">U13*S13*J13</f>
        <v>6054.078000000001</v>
      </c>
      <c r="X13">
        <f aca="true" t="shared" si="9" ref="X13:X18">SUM(V13:W13)</f>
        <v>11885.988000000001</v>
      </c>
      <c r="Y13">
        <f>C7</f>
        <v>925.7</v>
      </c>
      <c r="Z13" s="22">
        <f aca="true" t="shared" si="10" ref="Z13:Z18">C13+D13</f>
        <v>2.23</v>
      </c>
      <c r="AA13" s="34">
        <v>1.13</v>
      </c>
    </row>
    <row r="14" spans="1:27" ht="37.5">
      <c r="A14" s="15" t="s">
        <v>14</v>
      </c>
      <c r="B14" s="14" t="s">
        <v>15</v>
      </c>
      <c r="C14" s="34">
        <v>1.39</v>
      </c>
      <c r="D14" s="34">
        <v>1.46</v>
      </c>
      <c r="E14" s="32">
        <f t="shared" si="0"/>
        <v>15829.47</v>
      </c>
      <c r="F14" s="16">
        <f>E14</f>
        <v>15829.47</v>
      </c>
      <c r="G14" s="16">
        <f t="shared" si="1"/>
        <v>16107.18</v>
      </c>
      <c r="H14" s="17">
        <f t="shared" si="2"/>
        <v>1.4594110115189</v>
      </c>
      <c r="I14" s="18">
        <f t="shared" si="3"/>
        <v>1.5572983354607999</v>
      </c>
      <c r="J14" s="19">
        <f>J13</f>
        <v>925.7</v>
      </c>
      <c r="K14">
        <v>6</v>
      </c>
      <c r="L14">
        <v>2</v>
      </c>
      <c r="M14">
        <v>4</v>
      </c>
      <c r="N14" s="20">
        <f t="shared" si="4"/>
        <v>7720.338</v>
      </c>
      <c r="O14" s="20" t="e">
        <f>J14*#REF!*L14</f>
        <v>#REF!</v>
      </c>
      <c r="P14" s="20">
        <f t="shared" si="5"/>
        <v>5406.088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7387.086</v>
      </c>
      <c r="W14">
        <f t="shared" si="8"/>
        <v>7720.338000000001</v>
      </c>
      <c r="X14">
        <f t="shared" si="9"/>
        <v>15107.424</v>
      </c>
      <c r="Y14">
        <f>Y13</f>
        <v>925.7</v>
      </c>
      <c r="Z14" s="22">
        <f t="shared" si="10"/>
        <v>2.8499999999999996</v>
      </c>
      <c r="AA14" s="34">
        <v>1.45</v>
      </c>
    </row>
    <row r="15" spans="1:27" ht="18.75">
      <c r="A15" s="15" t="s">
        <v>16</v>
      </c>
      <c r="B15" s="14" t="s">
        <v>7</v>
      </c>
      <c r="C15" s="34"/>
      <c r="D15" s="34"/>
      <c r="E15" s="32"/>
      <c r="F15" s="16"/>
      <c r="G15" s="16"/>
      <c r="H15" s="17">
        <f t="shared" si="2"/>
        <v>0</v>
      </c>
      <c r="I15" s="18">
        <f t="shared" si="3"/>
        <v>0</v>
      </c>
      <c r="J15" s="19">
        <f>J14</f>
        <v>925.7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722.046</v>
      </c>
      <c r="W15">
        <f t="shared" si="8"/>
        <v>0</v>
      </c>
      <c r="X15">
        <f t="shared" si="9"/>
        <v>722.046</v>
      </c>
      <c r="Y15">
        <f>Y14</f>
        <v>925.7</v>
      </c>
      <c r="Z15" s="22">
        <f t="shared" si="10"/>
        <v>0</v>
      </c>
      <c r="AA15" s="34">
        <v>0</v>
      </c>
    </row>
    <row r="16" spans="1:27" ht="18.75">
      <c r="A16" s="15" t="s">
        <v>21</v>
      </c>
      <c r="B16" s="14" t="s">
        <v>11</v>
      </c>
      <c r="C16" s="34">
        <v>0.82</v>
      </c>
      <c r="D16" s="34">
        <v>0.58</v>
      </c>
      <c r="E16" s="32">
        <f t="shared" si="0"/>
        <v>7775.88</v>
      </c>
      <c r="F16" s="16">
        <f>E16</f>
        <v>7775.88</v>
      </c>
      <c r="G16" s="16">
        <f t="shared" si="1"/>
        <v>6442.871999999999</v>
      </c>
      <c r="H16" s="17">
        <f t="shared" si="2"/>
        <v>0.8609475031982</v>
      </c>
      <c r="I16" s="18">
        <f t="shared" si="3"/>
        <v>0.9186939820703999</v>
      </c>
      <c r="J16" s="19">
        <f>J15</f>
        <v>925.7</v>
      </c>
      <c r="K16">
        <v>6</v>
      </c>
      <c r="L16">
        <v>2</v>
      </c>
      <c r="M16">
        <v>4</v>
      </c>
      <c r="N16" s="20">
        <f t="shared" si="4"/>
        <v>4554.4439999999995</v>
      </c>
      <c r="O16" s="20" t="e">
        <f>J16*#REF!*L16</f>
        <v>#REF!</v>
      </c>
      <c r="P16" s="20">
        <f t="shared" si="5"/>
        <v>2147.624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4387.818000000001</v>
      </c>
      <c r="W16">
        <f t="shared" si="8"/>
        <v>4554.444</v>
      </c>
      <c r="X16">
        <f t="shared" si="9"/>
        <v>8942.262000000002</v>
      </c>
      <c r="Y16">
        <f>Y15</f>
        <v>925.7</v>
      </c>
      <c r="Z16" s="22">
        <f t="shared" si="10"/>
        <v>1.4</v>
      </c>
      <c r="AA16" s="34">
        <v>0.58</v>
      </c>
    </row>
    <row r="17" spans="1:27" ht="18.75">
      <c r="A17" s="15" t="s">
        <v>22</v>
      </c>
      <c r="B17" s="14" t="s">
        <v>19</v>
      </c>
      <c r="C17" s="34">
        <v>1.24</v>
      </c>
      <c r="D17" s="34">
        <v>1.24</v>
      </c>
      <c r="E17" s="32">
        <f t="shared" si="0"/>
        <v>13774.416</v>
      </c>
      <c r="F17" s="16">
        <f>E17</f>
        <v>13774.416</v>
      </c>
      <c r="G17" s="16">
        <f t="shared" si="1"/>
        <v>13774.416</v>
      </c>
      <c r="H17" s="17">
        <f t="shared" si="2"/>
        <v>1.3019206145924</v>
      </c>
      <c r="I17" s="18">
        <f t="shared" si="3"/>
        <v>1.3892445582528</v>
      </c>
      <c r="J17" s="19">
        <f>J16</f>
        <v>925.7</v>
      </c>
      <c r="K17">
        <v>6</v>
      </c>
      <c r="L17">
        <v>2</v>
      </c>
      <c r="M17">
        <v>4</v>
      </c>
      <c r="N17" s="20">
        <f t="shared" si="4"/>
        <v>6887.208</v>
      </c>
      <c r="O17" s="20" t="e">
        <f>J17*#REF!*L17</f>
        <v>#REF!</v>
      </c>
      <c r="P17" s="20">
        <f t="shared" si="5"/>
        <v>4591.472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6887.208</v>
      </c>
      <c r="W17">
        <f t="shared" si="8"/>
        <v>6887.208</v>
      </c>
      <c r="X17">
        <f t="shared" si="9"/>
        <v>13774.416</v>
      </c>
      <c r="Y17">
        <f>Y16</f>
        <v>925.7</v>
      </c>
      <c r="Z17" s="22">
        <f t="shared" si="10"/>
        <v>2.48</v>
      </c>
      <c r="AA17" s="34">
        <v>1.24</v>
      </c>
    </row>
    <row r="18" spans="1:27" ht="81" customHeight="1">
      <c r="A18" s="15" t="s">
        <v>23</v>
      </c>
      <c r="B18" s="14" t="s">
        <v>24</v>
      </c>
      <c r="C18" s="34">
        <v>4.47</v>
      </c>
      <c r="D18" s="34">
        <v>5.18</v>
      </c>
      <c r="E18" s="32">
        <f t="shared" si="0"/>
        <v>53598.03</v>
      </c>
      <c r="F18" s="101">
        <f>F20+F22+F24+F26+F28+F30+F32+F34+F36+F37+F39+F41+Y43</f>
        <v>61157.46</v>
      </c>
      <c r="G18" s="16">
        <f t="shared" si="1"/>
        <v>57541.512</v>
      </c>
      <c r="H18" s="17">
        <f t="shared" si="2"/>
        <v>4.6932138284097</v>
      </c>
      <c r="I18" s="18">
        <f t="shared" si="3"/>
        <v>5.008002560798399</v>
      </c>
      <c r="J18" s="19">
        <f>J17</f>
        <v>925.7</v>
      </c>
      <c r="K18">
        <v>6</v>
      </c>
      <c r="L18">
        <v>2</v>
      </c>
      <c r="M18">
        <v>4</v>
      </c>
      <c r="N18" s="20">
        <f t="shared" si="4"/>
        <v>24827.273999999998</v>
      </c>
      <c r="O18" s="20" t="e">
        <f>J18*#REF!*L18</f>
        <v>#REF!</v>
      </c>
      <c r="P18" s="20">
        <f t="shared" si="5"/>
        <v>19180.504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23383.182</v>
      </c>
      <c r="W18">
        <f t="shared" si="8"/>
        <v>25660.404</v>
      </c>
      <c r="X18">
        <f t="shared" si="9"/>
        <v>49043.585999999996</v>
      </c>
      <c r="Y18">
        <f>Y17</f>
        <v>925.7</v>
      </c>
      <c r="Z18" s="22">
        <f t="shared" si="10"/>
        <v>9.649999999999999</v>
      </c>
      <c r="AA18" s="34">
        <v>5.18</v>
      </c>
    </row>
    <row r="19" spans="1:19" ht="18.75">
      <c r="A19" s="15"/>
      <c r="B19" s="34" t="s">
        <v>75</v>
      </c>
      <c r="C19" s="16"/>
      <c r="D19" s="16"/>
      <c r="E19" s="16"/>
      <c r="F19" s="101"/>
      <c r="G19" s="16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21.75" customHeight="1">
      <c r="A20" s="15"/>
      <c r="B20" s="14" t="s">
        <v>254</v>
      </c>
      <c r="C20" s="16"/>
      <c r="D20" s="16"/>
      <c r="E20" s="16"/>
      <c r="F20" s="101">
        <v>560.61</v>
      </c>
      <c r="G20" s="16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15"/>
      <c r="B21" s="33" t="s">
        <v>88</v>
      </c>
      <c r="C21" s="16"/>
      <c r="D21" s="16"/>
      <c r="E21" s="16"/>
      <c r="F21" s="115"/>
      <c r="G21" s="16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37.5">
      <c r="A22" s="15"/>
      <c r="B22" s="14" t="s">
        <v>927</v>
      </c>
      <c r="C22" s="16"/>
      <c r="D22" s="16"/>
      <c r="E22" s="16"/>
      <c r="F22" s="115">
        <v>2192.76</v>
      </c>
      <c r="G22" s="16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15"/>
      <c r="B23" s="33" t="s">
        <v>89</v>
      </c>
      <c r="C23" s="16"/>
      <c r="D23" s="16"/>
      <c r="E23" s="16"/>
      <c r="F23" s="115"/>
      <c r="G23" s="16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37.5">
      <c r="A24" s="15"/>
      <c r="B24" s="14" t="s">
        <v>255</v>
      </c>
      <c r="C24" s="16"/>
      <c r="D24" s="16"/>
      <c r="E24" s="16"/>
      <c r="F24" s="115">
        <v>4587.82</v>
      </c>
      <c r="G24" s="16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23.25" customHeight="1">
      <c r="A25" s="15"/>
      <c r="B25" s="33" t="s">
        <v>90</v>
      </c>
      <c r="C25" s="16"/>
      <c r="D25" s="16"/>
      <c r="E25" s="16"/>
      <c r="F25" s="115"/>
      <c r="G25" s="16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56.25">
      <c r="A26" s="15"/>
      <c r="B26" s="14" t="s">
        <v>256</v>
      </c>
      <c r="C26" s="16"/>
      <c r="D26" s="16"/>
      <c r="E26" s="16"/>
      <c r="F26" s="108">
        <v>2082.24</v>
      </c>
      <c r="G26" s="16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15"/>
      <c r="B27" s="33" t="s">
        <v>91</v>
      </c>
      <c r="C27" s="16"/>
      <c r="D27" s="16"/>
      <c r="E27" s="16"/>
      <c r="F27" s="108"/>
      <c r="G27" s="16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37.5">
      <c r="A28" s="15"/>
      <c r="B28" s="14" t="s">
        <v>257</v>
      </c>
      <c r="C28" s="16"/>
      <c r="D28" s="16"/>
      <c r="E28" s="16"/>
      <c r="F28" s="108">
        <v>4501.25</v>
      </c>
      <c r="G28" s="16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15"/>
      <c r="B29" s="33" t="s">
        <v>92</v>
      </c>
      <c r="C29" s="16"/>
      <c r="D29" s="16"/>
      <c r="E29" s="16"/>
      <c r="F29" s="108"/>
      <c r="G29" s="16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37.5">
      <c r="A30" s="15"/>
      <c r="B30" s="14" t="s">
        <v>258</v>
      </c>
      <c r="C30" s="16"/>
      <c r="D30" s="16"/>
      <c r="E30" s="16"/>
      <c r="F30" s="108">
        <v>1827.24</v>
      </c>
      <c r="G30" s="16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15"/>
      <c r="B31" s="33" t="s">
        <v>93</v>
      </c>
      <c r="C31" s="16"/>
      <c r="D31" s="16"/>
      <c r="E31" s="16"/>
      <c r="F31" s="108"/>
      <c r="G31" s="16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57" customHeight="1">
      <c r="A32" s="15"/>
      <c r="B32" s="14" t="s">
        <v>259</v>
      </c>
      <c r="C32" s="16"/>
      <c r="D32" s="16"/>
      <c r="E32" s="16"/>
      <c r="F32" s="108">
        <v>7203.17</v>
      </c>
      <c r="G32" s="16"/>
      <c r="H32" s="17"/>
      <c r="I32" s="18"/>
      <c r="J32" s="19"/>
      <c r="N32" s="20"/>
      <c r="O32" s="20"/>
      <c r="P32" s="20"/>
      <c r="Q32" s="21"/>
      <c r="R32" s="22"/>
      <c r="S32" s="22"/>
    </row>
    <row r="33" spans="1:19" ht="18.75">
      <c r="A33" s="15"/>
      <c r="B33" s="33" t="s">
        <v>94</v>
      </c>
      <c r="C33" s="16"/>
      <c r="D33" s="16"/>
      <c r="E33" s="16"/>
      <c r="F33" s="108"/>
      <c r="G33" s="16"/>
      <c r="H33" s="17"/>
      <c r="I33" s="18"/>
      <c r="J33" s="19"/>
      <c r="N33" s="20"/>
      <c r="O33" s="20"/>
      <c r="P33" s="20"/>
      <c r="Q33" s="21"/>
      <c r="R33" s="22"/>
      <c r="S33" s="22"/>
    </row>
    <row r="34" spans="1:19" ht="22.5" customHeight="1">
      <c r="A34" s="15"/>
      <c r="B34" s="14" t="s">
        <v>260</v>
      </c>
      <c r="C34" s="16"/>
      <c r="D34" s="16"/>
      <c r="E34" s="16"/>
      <c r="F34" s="108">
        <v>1911.97</v>
      </c>
      <c r="G34" s="16"/>
      <c r="H34" s="17"/>
      <c r="I34" s="18"/>
      <c r="J34" s="19"/>
      <c r="N34" s="20"/>
      <c r="O34" s="20"/>
      <c r="P34" s="20"/>
      <c r="Q34" s="21"/>
      <c r="R34" s="22"/>
      <c r="S34" s="22"/>
    </row>
    <row r="35" spans="1:19" ht="18.75">
      <c r="A35" s="15"/>
      <c r="B35" s="33" t="s">
        <v>98</v>
      </c>
      <c r="C35" s="16"/>
      <c r="D35" s="16"/>
      <c r="E35" s="16"/>
      <c r="F35" s="108"/>
      <c r="G35" s="16"/>
      <c r="H35" s="17"/>
      <c r="I35" s="18"/>
      <c r="J35" s="19"/>
      <c r="N35" s="20"/>
      <c r="O35" s="20"/>
      <c r="P35" s="20"/>
      <c r="Q35" s="21"/>
      <c r="R35" s="22"/>
      <c r="S35" s="22"/>
    </row>
    <row r="36" spans="1:19" ht="34.5" customHeight="1">
      <c r="A36" s="15"/>
      <c r="B36" s="14" t="s">
        <v>261</v>
      </c>
      <c r="C36" s="16"/>
      <c r="D36" s="16"/>
      <c r="E36" s="16"/>
      <c r="F36" s="108">
        <v>13130.2</v>
      </c>
      <c r="G36" s="16"/>
      <c r="H36" s="17"/>
      <c r="I36" s="18"/>
      <c r="J36" s="19"/>
      <c r="N36" s="20"/>
      <c r="O36" s="20"/>
      <c r="P36" s="20"/>
      <c r="Q36" s="21"/>
      <c r="R36" s="22"/>
      <c r="S36" s="22"/>
    </row>
    <row r="37" spans="1:19" ht="18.75">
      <c r="A37" s="15"/>
      <c r="B37" s="14" t="s">
        <v>262</v>
      </c>
      <c r="C37" s="16"/>
      <c r="D37" s="16"/>
      <c r="E37" s="16"/>
      <c r="F37" s="108">
        <v>2200</v>
      </c>
      <c r="G37" s="16"/>
      <c r="H37" s="17"/>
      <c r="I37" s="18"/>
      <c r="J37" s="19"/>
      <c r="N37" s="20"/>
      <c r="O37" s="20"/>
      <c r="P37" s="20"/>
      <c r="Q37" s="21"/>
      <c r="R37" s="22"/>
      <c r="S37" s="22"/>
    </row>
    <row r="38" spans="1:19" ht="18.75">
      <c r="A38" s="15"/>
      <c r="B38" s="33" t="s">
        <v>95</v>
      </c>
      <c r="C38" s="16"/>
      <c r="D38" s="16"/>
      <c r="E38" s="16"/>
      <c r="F38" s="108"/>
      <c r="G38" s="16"/>
      <c r="H38" s="17"/>
      <c r="I38" s="18"/>
      <c r="J38" s="19"/>
      <c r="N38" s="20"/>
      <c r="O38" s="20"/>
      <c r="P38" s="20"/>
      <c r="Q38" s="21"/>
      <c r="R38" s="22"/>
      <c r="S38" s="22"/>
    </row>
    <row r="39" spans="1:19" ht="37.5">
      <c r="A39" s="15"/>
      <c r="B39" s="83" t="s">
        <v>263</v>
      </c>
      <c r="C39" s="16"/>
      <c r="D39" s="16"/>
      <c r="E39" s="16"/>
      <c r="F39" s="108">
        <v>6816.35</v>
      </c>
      <c r="G39" s="16"/>
      <c r="H39" s="17"/>
      <c r="I39" s="18"/>
      <c r="J39" s="19"/>
      <c r="N39" s="20"/>
      <c r="O39" s="20"/>
      <c r="P39" s="20"/>
      <c r="Q39" s="21"/>
      <c r="R39" s="22"/>
      <c r="S39" s="22"/>
    </row>
    <row r="40" spans="1:19" ht="18.75">
      <c r="A40" s="15"/>
      <c r="B40" s="33" t="s">
        <v>96</v>
      </c>
      <c r="C40" s="16"/>
      <c r="D40" s="16"/>
      <c r="E40" s="16"/>
      <c r="F40" s="108"/>
      <c r="G40" s="16"/>
      <c r="H40" s="17"/>
      <c r="I40" s="18"/>
      <c r="J40" s="19"/>
      <c r="N40" s="20"/>
      <c r="O40" s="20"/>
      <c r="P40" s="20"/>
      <c r="Q40" s="21"/>
      <c r="R40" s="22"/>
      <c r="S40" s="22"/>
    </row>
    <row r="41" spans="1:19" ht="54" customHeight="1">
      <c r="A41" s="15"/>
      <c r="B41" s="14" t="s">
        <v>264</v>
      </c>
      <c r="C41" s="16"/>
      <c r="D41" s="16"/>
      <c r="E41" s="16"/>
      <c r="F41" s="108">
        <v>14143.85</v>
      </c>
      <c r="G41" s="16"/>
      <c r="H41" s="17"/>
      <c r="I41" s="18"/>
      <c r="J41" s="19"/>
      <c r="N41" s="20"/>
      <c r="O41" s="20"/>
      <c r="P41" s="20"/>
      <c r="Q41" s="21"/>
      <c r="R41" s="22"/>
      <c r="S41" s="22"/>
    </row>
    <row r="42" spans="1:19" ht="18.75">
      <c r="A42" s="15"/>
      <c r="B42" s="33" t="s">
        <v>97</v>
      </c>
      <c r="C42" s="16"/>
      <c r="D42" s="16"/>
      <c r="E42" s="16"/>
      <c r="F42" s="108"/>
      <c r="G42" s="16"/>
      <c r="H42" s="17"/>
      <c r="I42" s="18"/>
      <c r="J42" s="19"/>
      <c r="N42" s="20"/>
      <c r="O42" s="20"/>
      <c r="P42" s="20"/>
      <c r="Q42" s="21"/>
      <c r="R42" s="22"/>
      <c r="S42" s="22"/>
    </row>
    <row r="43" spans="1:19" ht="60" customHeight="1">
      <c r="A43" s="15"/>
      <c r="B43" s="14" t="s">
        <v>265</v>
      </c>
      <c r="C43" s="16"/>
      <c r="D43" s="16"/>
      <c r="E43" s="16"/>
      <c r="F43" s="108">
        <v>10726.01</v>
      </c>
      <c r="G43" s="16"/>
      <c r="H43" s="17"/>
      <c r="I43" s="18"/>
      <c r="J43" s="19"/>
      <c r="N43" s="20"/>
      <c r="O43" s="20"/>
      <c r="P43" s="20"/>
      <c r="Q43" s="21"/>
      <c r="R43" s="22"/>
      <c r="S43" s="22"/>
    </row>
    <row r="44" spans="1:19" ht="75" customHeight="1">
      <c r="A44" s="15"/>
      <c r="B44" s="14" t="s">
        <v>943</v>
      </c>
      <c r="C44" s="16"/>
      <c r="D44" s="16"/>
      <c r="E44" s="16">
        <v>-2524.47</v>
      </c>
      <c r="F44" s="101">
        <f>E44</f>
        <v>-2524.47</v>
      </c>
      <c r="G44" s="16"/>
      <c r="H44" s="17"/>
      <c r="I44" s="18"/>
      <c r="J44" s="19"/>
      <c r="N44" s="20"/>
      <c r="O44" s="20"/>
      <c r="P44" s="20"/>
      <c r="Q44" s="21"/>
      <c r="R44" s="22"/>
      <c r="S44" s="22"/>
    </row>
    <row r="45" spans="1:24" ht="18.75">
      <c r="A45" s="12"/>
      <c r="B45" s="14" t="s">
        <v>9</v>
      </c>
      <c r="C45" s="13">
        <f>SUM(C13:C26)</f>
        <v>9.01</v>
      </c>
      <c r="D45" s="13">
        <f>SUM(D13:D26)</f>
        <v>9.6</v>
      </c>
      <c r="E45" s="16">
        <f>SUM(E13:E26)+E44</f>
        <v>100839.192</v>
      </c>
      <c r="F45" s="16">
        <f>F13+F14+F15+F16+F17+F18+F44</f>
        <v>108398.622</v>
      </c>
      <c r="G45" s="16">
        <f>SUM(G13:G43)</f>
        <v>106418.472</v>
      </c>
      <c r="H45" s="17">
        <f>1.04993597951*C45</f>
        <v>9.4599231753851</v>
      </c>
      <c r="I45" s="18">
        <f>1.12035851472*C45</f>
        <v>10.094430217627199</v>
      </c>
      <c r="J45" s="19">
        <f>J18</f>
        <v>925.7</v>
      </c>
      <c r="N45" s="20"/>
      <c r="Q45" s="24"/>
      <c r="R45" s="22">
        <f>SUM(R13:R26)</f>
        <v>8.75</v>
      </c>
      <c r="S45" s="22">
        <f>SUM(S13:S26)</f>
        <v>9.16</v>
      </c>
      <c r="T45" s="22"/>
      <c r="U45" s="22"/>
      <c r="V45" s="22">
        <f>SUM(V13:V26)</f>
        <v>48599.25</v>
      </c>
      <c r="W45" s="22">
        <f>SUM(W13:W26)</f>
        <v>50876.471999999994</v>
      </c>
      <c r="X45" s="22">
        <f>SUM(X13:X26)</f>
        <v>99475.722</v>
      </c>
    </row>
    <row r="46" spans="1:27" ht="23.25" customHeight="1">
      <c r="A46" s="13">
        <v>5</v>
      </c>
      <c r="B46" s="25" t="s">
        <v>26</v>
      </c>
      <c r="C46" s="108">
        <v>1.47</v>
      </c>
      <c r="D46" s="108">
        <v>1.58</v>
      </c>
      <c r="E46" s="98">
        <f>Z46*Y46*6</f>
        <v>16940.309999999998</v>
      </c>
      <c r="F46" s="101">
        <f>E46</f>
        <v>16940.309999999998</v>
      </c>
      <c r="G46" s="101">
        <f>AA46*Y46*6</f>
        <v>20994.876</v>
      </c>
      <c r="H46">
        <f>H28</f>
        <v>0</v>
      </c>
      <c r="I46" s="22">
        <f>C46+D46</f>
        <v>3.05</v>
      </c>
      <c r="J46" s="34">
        <v>3.43</v>
      </c>
      <c r="K46">
        <v>10</v>
      </c>
      <c r="L46">
        <v>2</v>
      </c>
      <c r="N46" s="20">
        <f>C46*J46*K46</f>
        <v>50.42100000000001</v>
      </c>
      <c r="O46" s="20" t="e">
        <f>#REF!*J46*L46</f>
        <v>#REF!</v>
      </c>
      <c r="P46" s="20" t="e">
        <f>SUM(N46:O46)</f>
        <v>#REF!</v>
      </c>
      <c r="Q46" s="21"/>
      <c r="R46" s="22">
        <v>1.47</v>
      </c>
      <c r="S46">
        <v>1.58</v>
      </c>
      <c r="T46">
        <v>6</v>
      </c>
      <c r="U46">
        <v>6</v>
      </c>
      <c r="V46">
        <f>R46*J46*T46</f>
        <v>30.2526</v>
      </c>
      <c r="W46">
        <f>S46*U46*J46</f>
        <v>32.516400000000004</v>
      </c>
      <c r="X46">
        <f>SUM(V46:W46)</f>
        <v>62.769000000000005</v>
      </c>
      <c r="Y46">
        <f>C7</f>
        <v>925.7</v>
      </c>
      <c r="Z46" s="22">
        <f>C46+D46</f>
        <v>3.05</v>
      </c>
      <c r="AA46" s="34">
        <v>3.78</v>
      </c>
    </row>
    <row r="47" spans="1:17" ht="18.75">
      <c r="A47" s="10"/>
      <c r="B47" s="26"/>
      <c r="C47" s="10"/>
      <c r="D47" s="10"/>
      <c r="E47" s="10"/>
      <c r="F47" s="10"/>
      <c r="G47" s="10"/>
      <c r="H47" s="10"/>
      <c r="Q47" s="24"/>
    </row>
    <row r="48" spans="1:17" ht="18.75">
      <c r="A48" s="179" t="s">
        <v>941</v>
      </c>
      <c r="B48" s="179"/>
      <c r="C48" s="183">
        <v>24117.7</v>
      </c>
      <c r="D48" s="183"/>
      <c r="E48" s="6" t="s">
        <v>18</v>
      </c>
      <c r="F48" s="10"/>
      <c r="G48" s="10"/>
      <c r="H48" s="10"/>
      <c r="Q48" s="24"/>
    </row>
    <row r="49" spans="1:17" ht="18.75">
      <c r="A49" s="179" t="s">
        <v>942</v>
      </c>
      <c r="B49" s="179"/>
      <c r="C49" s="183">
        <v>21579</v>
      </c>
      <c r="D49" s="183"/>
      <c r="E49" s="6" t="s">
        <v>18</v>
      </c>
      <c r="F49" s="10"/>
      <c r="G49" s="10"/>
      <c r="H49" s="10"/>
      <c r="Q49" s="24"/>
    </row>
    <row r="50" spans="1:8" ht="18.75">
      <c r="A50" s="180" t="s">
        <v>17</v>
      </c>
      <c r="B50" s="180"/>
      <c r="C50" s="180"/>
      <c r="D50" s="180"/>
      <c r="E50" s="180"/>
      <c r="F50" s="180"/>
      <c r="G50" s="180"/>
      <c r="H50" s="10"/>
    </row>
    <row r="51" spans="1:8" ht="18.75" customHeight="1" hidden="1">
      <c r="A51" s="181" t="s">
        <v>35</v>
      </c>
      <c r="B51" s="181"/>
      <c r="C51" s="5" t="e">
        <f>C48-#REF!</f>
        <v>#REF!</v>
      </c>
      <c r="D51" s="10" t="s">
        <v>18</v>
      </c>
      <c r="E51" s="10"/>
      <c r="F51" s="10"/>
      <c r="G51" s="10"/>
      <c r="H51" s="10"/>
    </row>
    <row r="52" spans="1:8" ht="18.75" customHeight="1" hidden="1">
      <c r="A52" s="181" t="s">
        <v>36</v>
      </c>
      <c r="B52" s="181"/>
      <c r="C52" s="85">
        <f>E45-F45</f>
        <v>-7559.430000000008</v>
      </c>
      <c r="D52" s="90" t="str">
        <f>D51</f>
        <v>рублей</v>
      </c>
      <c r="H52" s="28"/>
    </row>
    <row r="53" spans="2:5" ht="18">
      <c r="B53" s="4"/>
      <c r="C53" s="1"/>
      <c r="D53" s="3"/>
      <c r="E53" s="1"/>
    </row>
    <row r="54" spans="2:4" ht="12.75">
      <c r="B54" s="1"/>
      <c r="C54" s="1"/>
      <c r="D54" s="1"/>
    </row>
  </sheetData>
  <sheetProtection/>
  <mergeCells count="18">
    <mergeCell ref="A1:G2"/>
    <mergeCell ref="A3:G3"/>
    <mergeCell ref="A4:H5"/>
    <mergeCell ref="C48:D48"/>
    <mergeCell ref="C49:D49"/>
    <mergeCell ref="F9:F11"/>
    <mergeCell ref="G9:G11"/>
    <mergeCell ref="A48:B48"/>
    <mergeCell ref="A49:B49"/>
    <mergeCell ref="A50:G50"/>
    <mergeCell ref="A51:B51"/>
    <mergeCell ref="A52:B52"/>
    <mergeCell ref="J9:Q12"/>
    <mergeCell ref="R9:X12"/>
    <mergeCell ref="A9:A11"/>
    <mergeCell ref="B9:B11"/>
    <mergeCell ref="C9:D10"/>
    <mergeCell ref="E9:E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  <rowBreaks count="1" manualBreakCount="1">
    <brk id="34" max="6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A58"/>
  <sheetViews>
    <sheetView view="pageBreakPreview" zoomScale="75" zoomScaleSheetLayoutView="75" zoomScalePageLayoutView="0" workbookViewId="0" topLeftCell="A28">
      <selection activeCell="F52" sqref="F52"/>
    </sheetView>
  </sheetViews>
  <sheetFormatPr defaultColWidth="9.00390625" defaultRowHeight="12.75"/>
  <cols>
    <col min="1" max="1" width="9.25390625" style="0" bestFit="1" customWidth="1"/>
    <col min="2" max="2" width="48.625" style="0" customWidth="1"/>
    <col min="3" max="3" width="12.125" style="0" customWidth="1"/>
    <col min="4" max="4" width="11.375" style="0" customWidth="1"/>
    <col min="5" max="5" width="16.25390625" style="0" customWidth="1"/>
    <col min="6" max="6" width="14.625" style="0" customWidth="1"/>
    <col min="7" max="7" width="15.75390625" style="0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1" width="9.25390625" style="0" hidden="1" customWidth="1"/>
    <col min="22" max="24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42.75" customHeight="1">
      <c r="A3" s="182" t="s">
        <v>40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1480.4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184" t="s">
        <v>8</v>
      </c>
      <c r="B9" s="184" t="s">
        <v>6</v>
      </c>
      <c r="C9" s="185" t="s">
        <v>32</v>
      </c>
      <c r="D9" s="186"/>
      <c r="E9" s="189" t="s">
        <v>99</v>
      </c>
      <c r="F9" s="178" t="s">
        <v>74</v>
      </c>
      <c r="G9" s="178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54.75" customHeight="1">
      <c r="A10" s="184"/>
      <c r="B10" s="184"/>
      <c r="C10" s="187"/>
      <c r="D10" s="188"/>
      <c r="E10" s="190"/>
      <c r="F10" s="178"/>
      <c r="G10" s="178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82.5" customHeight="1">
      <c r="A11" s="184"/>
      <c r="B11" s="184"/>
      <c r="C11" s="87" t="s">
        <v>107</v>
      </c>
      <c r="D11" s="87" t="s">
        <v>106</v>
      </c>
      <c r="E11" s="191"/>
      <c r="F11" s="178"/>
      <c r="G11" s="178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13" t="s">
        <v>12</v>
      </c>
      <c r="B12" s="14" t="s">
        <v>20</v>
      </c>
      <c r="C12" s="13"/>
      <c r="D12" s="13"/>
      <c r="E12" s="13"/>
      <c r="F12" s="13"/>
      <c r="G12" s="1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27" ht="18.75">
      <c r="A13" s="15" t="s">
        <v>13</v>
      </c>
      <c r="B13" s="14" t="s">
        <v>10</v>
      </c>
      <c r="C13" s="34">
        <v>1.09</v>
      </c>
      <c r="D13" s="34">
        <v>1.14</v>
      </c>
      <c r="E13" s="16">
        <f aca="true" t="shared" si="0" ref="E13:E18">Y13*Z13*6</f>
        <v>19807.752</v>
      </c>
      <c r="F13" s="16">
        <f>E13</f>
        <v>19807.752</v>
      </c>
      <c r="G13" s="16">
        <f aca="true" t="shared" si="1" ref="G13:G18">Y13*AA13*12</f>
        <v>20074.224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1480.4</v>
      </c>
      <c r="K13">
        <v>6</v>
      </c>
      <c r="L13">
        <v>2</v>
      </c>
      <c r="M13">
        <v>4</v>
      </c>
      <c r="N13" s="20">
        <f aca="true" t="shared" si="4" ref="N13:N18">C13*J13*K13</f>
        <v>9681.816</v>
      </c>
      <c r="O13" s="20" t="e">
        <f>J13*#REF!*L13</f>
        <v>#REF!</v>
      </c>
      <c r="P13" s="20">
        <f aca="true" t="shared" si="5" ref="P13:P18">D13*J13*M13</f>
        <v>6750.624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9326.52</v>
      </c>
      <c r="W13">
        <f aca="true" t="shared" si="8" ref="W13:W18">U13*S13*J13</f>
        <v>9681.816000000003</v>
      </c>
      <c r="X13">
        <f aca="true" t="shared" si="9" ref="X13:X18">SUM(V13:W13)</f>
        <v>19008.336000000003</v>
      </c>
      <c r="Y13">
        <f>C7</f>
        <v>1480.4</v>
      </c>
      <c r="Z13" s="22">
        <f aca="true" t="shared" si="10" ref="Z13:Z18">C13+D13</f>
        <v>2.23</v>
      </c>
      <c r="AA13" s="34">
        <v>1.13</v>
      </c>
    </row>
    <row r="14" spans="1:27" ht="37.5">
      <c r="A14" s="15" t="s">
        <v>14</v>
      </c>
      <c r="B14" s="14" t="s">
        <v>15</v>
      </c>
      <c r="C14" s="34">
        <v>1.39</v>
      </c>
      <c r="D14" s="34">
        <v>1.46</v>
      </c>
      <c r="E14" s="16">
        <f t="shared" si="0"/>
        <v>25314.839999999997</v>
      </c>
      <c r="F14" s="16">
        <f>E14</f>
        <v>25314.839999999997</v>
      </c>
      <c r="G14" s="16">
        <f t="shared" si="1"/>
        <v>25936.608</v>
      </c>
      <c r="H14" s="17">
        <f t="shared" si="2"/>
        <v>1.4594110115189</v>
      </c>
      <c r="I14" s="18">
        <f t="shared" si="3"/>
        <v>1.5572983354607999</v>
      </c>
      <c r="J14" s="19">
        <f>J13</f>
        <v>1480.4</v>
      </c>
      <c r="K14">
        <v>6</v>
      </c>
      <c r="L14">
        <v>2</v>
      </c>
      <c r="M14">
        <v>4</v>
      </c>
      <c r="N14" s="20">
        <f t="shared" si="4"/>
        <v>12346.536</v>
      </c>
      <c r="O14" s="20" t="e">
        <f>J14*#REF!*L14</f>
        <v>#REF!</v>
      </c>
      <c r="P14" s="20">
        <f t="shared" si="5"/>
        <v>8645.536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11813.592</v>
      </c>
      <c r="W14">
        <f t="shared" si="8"/>
        <v>12346.536</v>
      </c>
      <c r="X14">
        <f t="shared" si="9"/>
        <v>24160.128</v>
      </c>
      <c r="Y14">
        <f>Y13</f>
        <v>1480.4</v>
      </c>
      <c r="Z14" s="22">
        <f t="shared" si="10"/>
        <v>2.8499999999999996</v>
      </c>
      <c r="AA14" s="34">
        <v>1.46</v>
      </c>
    </row>
    <row r="15" spans="1:27" ht="18.75">
      <c r="A15" s="15" t="s">
        <v>16</v>
      </c>
      <c r="B15" s="14" t="s">
        <v>7</v>
      </c>
      <c r="C15" s="34"/>
      <c r="D15" s="34"/>
      <c r="E15" s="16"/>
      <c r="F15" s="16"/>
      <c r="G15" s="16"/>
      <c r="H15" s="17">
        <f t="shared" si="2"/>
        <v>0</v>
      </c>
      <c r="I15" s="18">
        <f t="shared" si="3"/>
        <v>0</v>
      </c>
      <c r="J15" s="19">
        <f>J14</f>
        <v>1480.4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1154.7120000000002</v>
      </c>
      <c r="W15">
        <f t="shared" si="8"/>
        <v>0</v>
      </c>
      <c r="X15">
        <f t="shared" si="9"/>
        <v>1154.7120000000002</v>
      </c>
      <c r="Y15">
        <f>Y14</f>
        <v>1480.4</v>
      </c>
      <c r="Z15" s="22">
        <f t="shared" si="10"/>
        <v>0</v>
      </c>
      <c r="AA15" s="34">
        <v>0</v>
      </c>
    </row>
    <row r="16" spans="1:27" ht="18.75">
      <c r="A16" s="15" t="s">
        <v>21</v>
      </c>
      <c r="B16" s="14" t="s">
        <v>11</v>
      </c>
      <c r="C16" s="34">
        <v>0.82</v>
      </c>
      <c r="D16" s="34">
        <v>0.58</v>
      </c>
      <c r="E16" s="16">
        <f t="shared" si="0"/>
        <v>12435.36</v>
      </c>
      <c r="F16" s="16">
        <f>E16</f>
        <v>12435.36</v>
      </c>
      <c r="G16" s="16">
        <f t="shared" si="1"/>
        <v>10303.583999999999</v>
      </c>
      <c r="H16" s="17">
        <f t="shared" si="2"/>
        <v>0.8609475031982</v>
      </c>
      <c r="I16" s="18">
        <f t="shared" si="3"/>
        <v>0.9186939820703999</v>
      </c>
      <c r="J16" s="19">
        <f>J15</f>
        <v>1480.4</v>
      </c>
      <c r="K16">
        <v>6</v>
      </c>
      <c r="L16">
        <v>2</v>
      </c>
      <c r="M16">
        <v>4</v>
      </c>
      <c r="N16" s="20">
        <f t="shared" si="4"/>
        <v>7283.568000000001</v>
      </c>
      <c r="O16" s="20" t="e">
        <f>J16*#REF!*L16</f>
        <v>#REF!</v>
      </c>
      <c r="P16" s="20">
        <f t="shared" si="5"/>
        <v>3434.528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7017.0960000000005</v>
      </c>
      <c r="W16">
        <f t="shared" si="8"/>
        <v>7283.568</v>
      </c>
      <c r="X16">
        <f t="shared" si="9"/>
        <v>14300.664</v>
      </c>
      <c r="Y16">
        <f>Y15</f>
        <v>1480.4</v>
      </c>
      <c r="Z16" s="22">
        <f t="shared" si="10"/>
        <v>1.4</v>
      </c>
      <c r="AA16" s="34">
        <v>0.58</v>
      </c>
    </row>
    <row r="17" spans="1:27" ht="18.75">
      <c r="A17" s="15" t="s">
        <v>22</v>
      </c>
      <c r="B17" s="14" t="s">
        <v>19</v>
      </c>
      <c r="C17" s="34">
        <v>1.24</v>
      </c>
      <c r="D17" s="34">
        <v>1.24</v>
      </c>
      <c r="E17" s="16">
        <f t="shared" si="0"/>
        <v>22028.352000000003</v>
      </c>
      <c r="F17" s="16">
        <f>E17</f>
        <v>22028.352000000003</v>
      </c>
      <c r="G17" s="16">
        <f t="shared" si="1"/>
        <v>22028.352000000003</v>
      </c>
      <c r="H17" s="17">
        <f t="shared" si="2"/>
        <v>1.3019206145924</v>
      </c>
      <c r="I17" s="18">
        <f t="shared" si="3"/>
        <v>1.3892445582528</v>
      </c>
      <c r="J17" s="19">
        <f>J16</f>
        <v>1480.4</v>
      </c>
      <c r="K17">
        <v>6</v>
      </c>
      <c r="L17">
        <v>2</v>
      </c>
      <c r="M17">
        <v>4</v>
      </c>
      <c r="N17" s="20">
        <f t="shared" si="4"/>
        <v>11014.176000000001</v>
      </c>
      <c r="O17" s="20" t="e">
        <f>J17*#REF!*L17</f>
        <v>#REF!</v>
      </c>
      <c r="P17" s="20">
        <f t="shared" si="5"/>
        <v>7342.784000000001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11014.176000000001</v>
      </c>
      <c r="W17">
        <f t="shared" si="8"/>
        <v>11014.176</v>
      </c>
      <c r="X17">
        <f t="shared" si="9"/>
        <v>22028.352</v>
      </c>
      <c r="Y17">
        <f>Y16</f>
        <v>1480.4</v>
      </c>
      <c r="Z17" s="22">
        <f t="shared" si="10"/>
        <v>2.48</v>
      </c>
      <c r="AA17" s="34">
        <v>1.24</v>
      </c>
    </row>
    <row r="18" spans="1:27" ht="75">
      <c r="A18" s="15" t="s">
        <v>23</v>
      </c>
      <c r="B18" s="14" t="s">
        <v>24</v>
      </c>
      <c r="C18" s="34">
        <v>4.47</v>
      </c>
      <c r="D18" s="34">
        <v>5.18</v>
      </c>
      <c r="E18" s="16">
        <f t="shared" si="0"/>
        <v>85715.15999999999</v>
      </c>
      <c r="F18" s="101">
        <f>F20+F22+F24+F26+F27+F29+F31+F32+F34+F36+F38+F39+F40+F42+F43+F45+F46+F47+F49</f>
        <v>89860.20999999999</v>
      </c>
      <c r="G18" s="16">
        <f t="shared" si="1"/>
        <v>92021.66399999999</v>
      </c>
      <c r="H18" s="17">
        <f t="shared" si="2"/>
        <v>4.6932138284097</v>
      </c>
      <c r="I18" s="18">
        <f t="shared" si="3"/>
        <v>5.008002560798399</v>
      </c>
      <c r="J18" s="19">
        <f>J17</f>
        <v>1480.4</v>
      </c>
      <c r="K18">
        <v>6</v>
      </c>
      <c r="L18">
        <v>2</v>
      </c>
      <c r="M18">
        <v>4</v>
      </c>
      <c r="N18" s="20">
        <f t="shared" si="4"/>
        <v>39704.328</v>
      </c>
      <c r="O18" s="20" t="e">
        <f>J18*#REF!*L18</f>
        <v>#REF!</v>
      </c>
      <c r="P18" s="20">
        <f t="shared" si="5"/>
        <v>30673.888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37394.904</v>
      </c>
      <c r="W18">
        <f t="shared" si="8"/>
        <v>41036.688</v>
      </c>
      <c r="X18">
        <f t="shared" si="9"/>
        <v>78431.592</v>
      </c>
      <c r="Y18">
        <f>Y17</f>
        <v>1480.4</v>
      </c>
      <c r="Z18" s="22">
        <f t="shared" si="10"/>
        <v>9.649999999999999</v>
      </c>
      <c r="AA18" s="34">
        <v>5.18</v>
      </c>
    </row>
    <row r="19" spans="1:19" ht="18.75">
      <c r="A19" s="15"/>
      <c r="B19" s="34" t="s">
        <v>75</v>
      </c>
      <c r="C19" s="16"/>
      <c r="D19" s="16"/>
      <c r="E19" s="16"/>
      <c r="F19" s="101"/>
      <c r="G19" s="16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37.5">
      <c r="A20" s="15"/>
      <c r="B20" s="14" t="s">
        <v>266</v>
      </c>
      <c r="C20" s="16"/>
      <c r="D20" s="16"/>
      <c r="E20" s="16"/>
      <c r="F20" s="102">
        <v>2423.74</v>
      </c>
      <c r="G20" s="16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15"/>
      <c r="B21" s="33" t="s">
        <v>88</v>
      </c>
      <c r="C21" s="16"/>
      <c r="D21" s="16"/>
      <c r="E21" s="16"/>
      <c r="F21" s="102"/>
      <c r="G21" s="16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18.75">
      <c r="A22" s="15"/>
      <c r="B22" s="14" t="s">
        <v>267</v>
      </c>
      <c r="C22" s="16"/>
      <c r="D22" s="16"/>
      <c r="E22" s="16"/>
      <c r="F22" s="102">
        <v>996.64</v>
      </c>
      <c r="G22" s="16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15"/>
      <c r="B23" s="33" t="s">
        <v>89</v>
      </c>
      <c r="C23" s="16"/>
      <c r="D23" s="16"/>
      <c r="E23" s="16"/>
      <c r="F23" s="102"/>
      <c r="G23" s="16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57" customHeight="1">
      <c r="A24" s="15"/>
      <c r="B24" s="14" t="s">
        <v>268</v>
      </c>
      <c r="C24" s="16"/>
      <c r="D24" s="16"/>
      <c r="E24" s="16"/>
      <c r="F24" s="102">
        <v>4877.93</v>
      </c>
      <c r="G24" s="16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24" customHeight="1">
      <c r="A25" s="15"/>
      <c r="B25" s="33" t="s">
        <v>90</v>
      </c>
      <c r="C25" s="16"/>
      <c r="D25" s="16"/>
      <c r="E25" s="16"/>
      <c r="F25" s="102"/>
      <c r="G25" s="16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41.25" customHeight="1">
      <c r="A26" s="15"/>
      <c r="B26" s="14" t="s">
        <v>269</v>
      </c>
      <c r="C26" s="16"/>
      <c r="D26" s="16"/>
      <c r="E26" s="16"/>
      <c r="F26" s="102">
        <v>1575.09</v>
      </c>
      <c r="G26" s="16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24" customHeight="1">
      <c r="A27" s="15"/>
      <c r="B27" s="14" t="s">
        <v>270</v>
      </c>
      <c r="C27" s="16"/>
      <c r="D27" s="16"/>
      <c r="E27" s="16"/>
      <c r="F27" s="102">
        <v>572.45</v>
      </c>
      <c r="G27" s="16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15"/>
      <c r="B28" s="33" t="s">
        <v>91</v>
      </c>
      <c r="C28" s="16"/>
      <c r="D28" s="16"/>
      <c r="E28" s="16"/>
      <c r="F28" s="102"/>
      <c r="G28" s="16"/>
      <c r="H28" s="17"/>
      <c r="I28" s="18"/>
      <c r="J28" s="19"/>
      <c r="N28" s="20"/>
      <c r="O28" s="20"/>
      <c r="P28" s="20"/>
      <c r="Q28" s="21"/>
      <c r="R28" s="22"/>
      <c r="S28" s="22"/>
    </row>
    <row r="29" spans="1:24" ht="37.5">
      <c r="A29" s="13"/>
      <c r="B29" s="14" t="s">
        <v>271</v>
      </c>
      <c r="C29" s="16"/>
      <c r="D29" s="16"/>
      <c r="E29" s="16"/>
      <c r="F29" s="102">
        <v>9230.6</v>
      </c>
      <c r="G29" s="23"/>
      <c r="H29" s="17"/>
      <c r="I29" s="18"/>
      <c r="J29" s="19"/>
      <c r="K29">
        <v>6</v>
      </c>
      <c r="L29">
        <v>2</v>
      </c>
      <c r="M29">
        <v>4</v>
      </c>
      <c r="N29" s="20">
        <f>C29*J29*K29</f>
        <v>0</v>
      </c>
      <c r="O29" s="20" t="e">
        <f>J29*#REF!*L29</f>
        <v>#REF!</v>
      </c>
      <c r="P29" s="20">
        <f>D29*J29*M29</f>
        <v>0</v>
      </c>
      <c r="Q29" s="24"/>
      <c r="R29" s="22"/>
      <c r="V29">
        <f>J29*R29*U29</f>
        <v>0</v>
      </c>
      <c r="W29">
        <f>U29*S29*J29</f>
        <v>0</v>
      </c>
      <c r="X29">
        <f>SUM(V29:W29)</f>
        <v>0</v>
      </c>
    </row>
    <row r="30" spans="1:18" ht="18.75">
      <c r="A30" s="13"/>
      <c r="B30" s="33" t="s">
        <v>92</v>
      </c>
      <c r="C30" s="16"/>
      <c r="D30" s="16"/>
      <c r="E30" s="16"/>
      <c r="F30" s="102"/>
      <c r="G30" s="23"/>
      <c r="H30" s="17"/>
      <c r="I30" s="18"/>
      <c r="J30" s="19"/>
      <c r="N30" s="20"/>
      <c r="O30" s="20"/>
      <c r="P30" s="20"/>
      <c r="Q30" s="24"/>
      <c r="R30" s="22"/>
    </row>
    <row r="31" spans="1:18" ht="37.5">
      <c r="A31" s="13"/>
      <c r="B31" s="14" t="s">
        <v>272</v>
      </c>
      <c r="C31" s="16"/>
      <c r="D31" s="16"/>
      <c r="E31" s="16"/>
      <c r="F31" s="102">
        <v>2952.53</v>
      </c>
      <c r="G31" s="23"/>
      <c r="H31" s="17"/>
      <c r="I31" s="18"/>
      <c r="J31" s="19"/>
      <c r="N31" s="20"/>
      <c r="O31" s="20"/>
      <c r="P31" s="20"/>
      <c r="Q31" s="24"/>
      <c r="R31" s="22"/>
    </row>
    <row r="32" spans="1:18" ht="20.25" customHeight="1">
      <c r="A32" s="13"/>
      <c r="B32" s="14" t="s">
        <v>273</v>
      </c>
      <c r="C32" s="16"/>
      <c r="D32" s="16"/>
      <c r="E32" s="16"/>
      <c r="F32" s="102">
        <v>415.08</v>
      </c>
      <c r="G32" s="23"/>
      <c r="H32" s="17"/>
      <c r="I32" s="18"/>
      <c r="J32" s="19"/>
      <c r="N32" s="20"/>
      <c r="O32" s="20"/>
      <c r="P32" s="20"/>
      <c r="Q32" s="24"/>
      <c r="R32" s="22"/>
    </row>
    <row r="33" spans="1:18" ht="18.75">
      <c r="A33" s="13"/>
      <c r="B33" s="33" t="s">
        <v>93</v>
      </c>
      <c r="C33" s="16"/>
      <c r="D33" s="16"/>
      <c r="E33" s="16"/>
      <c r="F33" s="102"/>
      <c r="G33" s="23"/>
      <c r="H33" s="17"/>
      <c r="I33" s="18"/>
      <c r="J33" s="19"/>
      <c r="N33" s="20"/>
      <c r="O33" s="20"/>
      <c r="P33" s="20"/>
      <c r="Q33" s="24"/>
      <c r="R33" s="22"/>
    </row>
    <row r="34" spans="1:18" ht="37.5">
      <c r="A34" s="13"/>
      <c r="B34" s="14" t="s">
        <v>274</v>
      </c>
      <c r="C34" s="16"/>
      <c r="D34" s="16"/>
      <c r="E34" s="16"/>
      <c r="F34" s="102">
        <v>10483.73</v>
      </c>
      <c r="G34" s="23"/>
      <c r="H34" s="17"/>
      <c r="I34" s="18"/>
      <c r="J34" s="19"/>
      <c r="N34" s="20"/>
      <c r="O34" s="20"/>
      <c r="P34" s="20"/>
      <c r="Q34" s="24"/>
      <c r="R34" s="22"/>
    </row>
    <row r="35" spans="1:18" ht="18.75">
      <c r="A35" s="13"/>
      <c r="B35" s="33" t="s">
        <v>94</v>
      </c>
      <c r="C35" s="16"/>
      <c r="D35" s="16"/>
      <c r="E35" s="16"/>
      <c r="F35" s="102"/>
      <c r="G35" s="23"/>
      <c r="H35" s="17"/>
      <c r="I35" s="18"/>
      <c r="J35" s="19"/>
      <c r="N35" s="20"/>
      <c r="O35" s="20"/>
      <c r="P35" s="20"/>
      <c r="Q35" s="24"/>
      <c r="R35" s="22"/>
    </row>
    <row r="36" spans="1:18" ht="37.5">
      <c r="A36" s="13"/>
      <c r="B36" s="14" t="s">
        <v>275</v>
      </c>
      <c r="C36" s="16"/>
      <c r="D36" s="16"/>
      <c r="E36" s="16"/>
      <c r="F36" s="102">
        <v>7706.5</v>
      </c>
      <c r="G36" s="23"/>
      <c r="H36" s="17"/>
      <c r="I36" s="18"/>
      <c r="J36" s="19"/>
      <c r="N36" s="20"/>
      <c r="O36" s="20"/>
      <c r="P36" s="20"/>
      <c r="Q36" s="24"/>
      <c r="R36" s="22"/>
    </row>
    <row r="37" spans="1:18" ht="18.75">
      <c r="A37" s="13"/>
      <c r="B37" s="33" t="s">
        <v>98</v>
      </c>
      <c r="C37" s="16"/>
      <c r="D37" s="16"/>
      <c r="E37" s="16"/>
      <c r="F37" s="102"/>
      <c r="G37" s="23"/>
      <c r="H37" s="17"/>
      <c r="I37" s="18"/>
      <c r="J37" s="19"/>
      <c r="N37" s="20"/>
      <c r="O37" s="20"/>
      <c r="P37" s="20"/>
      <c r="Q37" s="24"/>
      <c r="R37" s="22"/>
    </row>
    <row r="38" spans="1:18" ht="56.25" customHeight="1">
      <c r="A38" s="13"/>
      <c r="B38" s="14" t="s">
        <v>928</v>
      </c>
      <c r="C38" s="16"/>
      <c r="D38" s="16"/>
      <c r="E38" s="16"/>
      <c r="F38" s="102">
        <v>8308.05</v>
      </c>
      <c r="G38" s="23"/>
      <c r="H38" s="17"/>
      <c r="I38" s="18"/>
      <c r="J38" s="19"/>
      <c r="N38" s="20"/>
      <c r="O38" s="20"/>
      <c r="P38" s="20"/>
      <c r="Q38" s="24"/>
      <c r="R38" s="22"/>
    </row>
    <row r="39" spans="1:18" ht="37.5">
      <c r="A39" s="13"/>
      <c r="B39" s="14" t="s">
        <v>276</v>
      </c>
      <c r="C39" s="16"/>
      <c r="D39" s="16"/>
      <c r="E39" s="16"/>
      <c r="F39" s="102">
        <v>2581.23</v>
      </c>
      <c r="G39" s="23"/>
      <c r="H39" s="17"/>
      <c r="I39" s="18"/>
      <c r="J39" s="19"/>
      <c r="N39" s="20"/>
      <c r="O39" s="20"/>
      <c r="P39" s="20"/>
      <c r="Q39" s="24"/>
      <c r="R39" s="22"/>
    </row>
    <row r="40" spans="1:18" ht="18.75">
      <c r="A40" s="13"/>
      <c r="B40" s="14" t="s">
        <v>277</v>
      </c>
      <c r="C40" s="16"/>
      <c r="D40" s="16"/>
      <c r="E40" s="16"/>
      <c r="F40" s="102">
        <v>1822.86</v>
      </c>
      <c r="G40" s="23"/>
      <c r="H40" s="17"/>
      <c r="I40" s="18"/>
      <c r="J40" s="19"/>
      <c r="N40" s="20"/>
      <c r="O40" s="20"/>
      <c r="P40" s="20"/>
      <c r="Q40" s="24"/>
      <c r="R40" s="22"/>
    </row>
    <row r="41" spans="1:18" ht="18.75">
      <c r="A41" s="13"/>
      <c r="B41" s="33" t="s">
        <v>95</v>
      </c>
      <c r="C41" s="16"/>
      <c r="D41" s="16"/>
      <c r="E41" s="16"/>
      <c r="F41" s="102"/>
      <c r="G41" s="23"/>
      <c r="H41" s="17"/>
      <c r="I41" s="18"/>
      <c r="J41" s="19"/>
      <c r="N41" s="20"/>
      <c r="O41" s="20"/>
      <c r="P41" s="20"/>
      <c r="Q41" s="24"/>
      <c r="R41" s="22"/>
    </row>
    <row r="42" spans="1:18" ht="75">
      <c r="A42" s="13"/>
      <c r="B42" s="14" t="s">
        <v>278</v>
      </c>
      <c r="C42" s="16"/>
      <c r="D42" s="16"/>
      <c r="E42" s="16"/>
      <c r="F42" s="102">
        <v>12015.82</v>
      </c>
      <c r="G42" s="23"/>
      <c r="H42" s="17"/>
      <c r="I42" s="18"/>
      <c r="J42" s="19"/>
      <c r="N42" s="20"/>
      <c r="O42" s="20"/>
      <c r="P42" s="20"/>
      <c r="Q42" s="24"/>
      <c r="R42" s="22"/>
    </row>
    <row r="43" spans="1:18" ht="37.5">
      <c r="A43" s="13"/>
      <c r="B43" s="14" t="s">
        <v>279</v>
      </c>
      <c r="C43" s="16"/>
      <c r="D43" s="16"/>
      <c r="E43" s="16"/>
      <c r="F43" s="102">
        <v>3023.39</v>
      </c>
      <c r="G43" s="23"/>
      <c r="H43" s="17"/>
      <c r="I43" s="18"/>
      <c r="J43" s="19"/>
      <c r="N43" s="20"/>
      <c r="O43" s="20"/>
      <c r="P43" s="20"/>
      <c r="Q43" s="24"/>
      <c r="R43" s="22"/>
    </row>
    <row r="44" spans="1:18" ht="18.75">
      <c r="A44" s="13"/>
      <c r="B44" s="33" t="s">
        <v>96</v>
      </c>
      <c r="C44" s="16"/>
      <c r="D44" s="16"/>
      <c r="E44" s="16"/>
      <c r="F44" s="102"/>
      <c r="G44" s="23"/>
      <c r="H44" s="17"/>
      <c r="I44" s="18"/>
      <c r="J44" s="19"/>
      <c r="N44" s="20"/>
      <c r="O44" s="20"/>
      <c r="P44" s="20"/>
      <c r="Q44" s="24"/>
      <c r="R44" s="22"/>
    </row>
    <row r="45" spans="1:18" ht="56.25">
      <c r="A45" s="13"/>
      <c r="B45" s="14" t="s">
        <v>929</v>
      </c>
      <c r="C45" s="16"/>
      <c r="D45" s="16"/>
      <c r="E45" s="16"/>
      <c r="F45" s="102">
        <v>11422.76</v>
      </c>
      <c r="G45" s="23"/>
      <c r="H45" s="17"/>
      <c r="I45" s="18"/>
      <c r="J45" s="19"/>
      <c r="N45" s="20"/>
      <c r="O45" s="20"/>
      <c r="P45" s="20"/>
      <c r="Q45" s="24"/>
      <c r="R45" s="22"/>
    </row>
    <row r="46" spans="1:18" ht="18.75">
      <c r="A46" s="13"/>
      <c r="B46" s="14" t="s">
        <v>280</v>
      </c>
      <c r="C46" s="16"/>
      <c r="D46" s="16"/>
      <c r="E46" s="16"/>
      <c r="F46" s="102">
        <v>123.53</v>
      </c>
      <c r="G46" s="23"/>
      <c r="H46" s="17"/>
      <c r="I46" s="18"/>
      <c r="J46" s="19"/>
      <c r="N46" s="20"/>
      <c r="O46" s="20"/>
      <c r="P46" s="20"/>
      <c r="Q46" s="24"/>
      <c r="R46" s="22"/>
    </row>
    <row r="47" spans="1:18" ht="18.75">
      <c r="A47" s="13"/>
      <c r="B47" s="14" t="s">
        <v>281</v>
      </c>
      <c r="C47" s="16"/>
      <c r="D47" s="16"/>
      <c r="E47" s="16"/>
      <c r="F47" s="102">
        <v>251.49</v>
      </c>
      <c r="G47" s="23"/>
      <c r="H47" s="17"/>
      <c r="I47" s="18"/>
      <c r="J47" s="19"/>
      <c r="N47" s="20"/>
      <c r="O47" s="20"/>
      <c r="P47" s="20"/>
      <c r="Q47" s="24"/>
      <c r="R47" s="22"/>
    </row>
    <row r="48" spans="1:18" ht="18.75">
      <c r="A48" s="13"/>
      <c r="B48" s="33" t="s">
        <v>97</v>
      </c>
      <c r="C48" s="16"/>
      <c r="D48" s="16"/>
      <c r="E48" s="16"/>
      <c r="F48" s="102"/>
      <c r="G48" s="23"/>
      <c r="H48" s="17"/>
      <c r="I48" s="18"/>
      <c r="J48" s="19"/>
      <c r="N48" s="20"/>
      <c r="O48" s="20"/>
      <c r="P48" s="20"/>
      <c r="Q48" s="24"/>
      <c r="R48" s="22"/>
    </row>
    <row r="49" spans="1:18" ht="56.25">
      <c r="A49" s="13"/>
      <c r="B49" s="14" t="s">
        <v>282</v>
      </c>
      <c r="C49" s="16"/>
      <c r="D49" s="16"/>
      <c r="E49" s="16"/>
      <c r="F49" s="102">
        <v>9076.79</v>
      </c>
      <c r="G49" s="23"/>
      <c r="H49" s="17"/>
      <c r="I49" s="18"/>
      <c r="J49" s="19"/>
      <c r="N49" s="20"/>
      <c r="O49" s="20"/>
      <c r="P49" s="20"/>
      <c r="Q49" s="24"/>
      <c r="R49" s="22"/>
    </row>
    <row r="50" spans="1:18" ht="56.25">
      <c r="A50" s="13"/>
      <c r="B50" s="14" t="s">
        <v>943</v>
      </c>
      <c r="C50" s="16"/>
      <c r="D50" s="16"/>
      <c r="E50" s="16">
        <v>-1671.09</v>
      </c>
      <c r="F50" s="102">
        <f>E50</f>
        <v>-1671.09</v>
      </c>
      <c r="G50" s="23"/>
      <c r="H50" s="17"/>
      <c r="I50" s="18"/>
      <c r="J50" s="19"/>
      <c r="N50" s="20"/>
      <c r="O50" s="20"/>
      <c r="P50" s="20"/>
      <c r="Q50" s="24"/>
      <c r="R50" s="22"/>
    </row>
    <row r="51" spans="1:24" ht="18.75">
      <c r="A51" s="12"/>
      <c r="B51" s="14" t="s">
        <v>9</v>
      </c>
      <c r="C51" s="13">
        <f>SUM(C13:C29)</f>
        <v>9.01</v>
      </c>
      <c r="D51" s="13">
        <f>SUM(D13:D29)</f>
        <v>9.6</v>
      </c>
      <c r="E51" s="16">
        <f>SUM(E13:E29)+E50</f>
        <v>163630.37399999998</v>
      </c>
      <c r="F51" s="16">
        <f>F13+F14+F15+F16+F17+F18+F50</f>
        <v>167775.424</v>
      </c>
      <c r="G51" s="16">
        <f>SUM(G13:G49)</f>
        <v>170364.43199999997</v>
      </c>
      <c r="H51" s="17">
        <f>1.04993597951*C51</f>
        <v>9.4599231753851</v>
      </c>
      <c r="I51" s="18">
        <f>1.12035851472*C51</f>
        <v>10.094430217627199</v>
      </c>
      <c r="J51" s="19">
        <f>J18</f>
        <v>1480.4</v>
      </c>
      <c r="N51" s="20"/>
      <c r="Q51" s="24"/>
      <c r="R51" s="22">
        <f>SUM(R13:R29)</f>
        <v>8.75</v>
      </c>
      <c r="S51" s="22">
        <f>SUM(S13:S29)</f>
        <v>9.16</v>
      </c>
      <c r="T51" s="22"/>
      <c r="U51" s="22"/>
      <c r="V51" s="22">
        <f>SUM(V13:V29)</f>
        <v>77721</v>
      </c>
      <c r="W51" s="22">
        <f>SUM(W13:W29)</f>
        <v>81362.78400000001</v>
      </c>
      <c r="X51" s="22">
        <f>SUM(X13:X29)</f>
        <v>159083.784</v>
      </c>
    </row>
    <row r="52" spans="1:27" ht="18.75">
      <c r="A52" s="13">
        <v>5</v>
      </c>
      <c r="B52" s="25" t="s">
        <v>26</v>
      </c>
      <c r="C52" s="108">
        <v>1.58</v>
      </c>
      <c r="D52" s="108">
        <v>1.85</v>
      </c>
      <c r="E52" s="98">
        <f>Z52*Y52*6</f>
        <v>30466.632000000005</v>
      </c>
      <c r="F52" s="101">
        <f>E52</f>
        <v>30466.632000000005</v>
      </c>
      <c r="G52" s="101">
        <f>AA52*Y52*12</f>
        <v>33575.472</v>
      </c>
      <c r="H52">
        <f>H24</f>
        <v>0</v>
      </c>
      <c r="I52" s="22">
        <f>C52+D52</f>
        <v>3.43</v>
      </c>
      <c r="J52" s="34">
        <v>3.43</v>
      </c>
      <c r="K52">
        <v>10</v>
      </c>
      <c r="L52">
        <v>2</v>
      </c>
      <c r="N52" s="20">
        <f>C52*J52*K52</f>
        <v>54.194</v>
      </c>
      <c r="O52" s="20" t="e">
        <f>#REF!*J52*L52</f>
        <v>#REF!</v>
      </c>
      <c r="P52" s="20" t="e">
        <f>SUM(N52:O52)</f>
        <v>#REF!</v>
      </c>
      <c r="Q52" s="21"/>
      <c r="R52" s="22">
        <v>1.47</v>
      </c>
      <c r="S52">
        <v>1.58</v>
      </c>
      <c r="T52">
        <v>6</v>
      </c>
      <c r="U52">
        <v>6</v>
      </c>
      <c r="V52">
        <f>R52*J52*T52</f>
        <v>30.2526</v>
      </c>
      <c r="W52">
        <f>S52*U52*J52</f>
        <v>32.516400000000004</v>
      </c>
      <c r="X52">
        <f>SUM(V52:W52)</f>
        <v>62.769000000000005</v>
      </c>
      <c r="Y52">
        <f>C7</f>
        <v>1480.4</v>
      </c>
      <c r="Z52" s="22">
        <f>C52+D52</f>
        <v>3.43</v>
      </c>
      <c r="AA52" s="34">
        <v>1.89</v>
      </c>
    </row>
    <row r="53" spans="1:17" ht="18.75">
      <c r="A53" s="10"/>
      <c r="B53" s="26"/>
      <c r="C53" s="10"/>
      <c r="D53" s="10"/>
      <c r="E53" s="10"/>
      <c r="F53" s="10"/>
      <c r="G53" s="10"/>
      <c r="H53" s="10"/>
      <c r="Q53" s="24"/>
    </row>
    <row r="54" spans="1:17" ht="18.75">
      <c r="A54" s="179" t="s">
        <v>941</v>
      </c>
      <c r="B54" s="179"/>
      <c r="C54" s="183">
        <v>23664.81</v>
      </c>
      <c r="D54" s="183"/>
      <c r="E54" s="6" t="s">
        <v>18</v>
      </c>
      <c r="F54" s="10"/>
      <c r="G54" s="10"/>
      <c r="H54" s="10"/>
      <c r="Q54" s="24"/>
    </row>
    <row r="55" spans="1:17" ht="18.75">
      <c r="A55" s="179" t="s">
        <v>942</v>
      </c>
      <c r="B55" s="179"/>
      <c r="C55" s="183">
        <v>34736.86</v>
      </c>
      <c r="D55" s="183"/>
      <c r="E55" s="6" t="s">
        <v>18</v>
      </c>
      <c r="F55" s="10"/>
      <c r="G55" s="10"/>
      <c r="H55" s="10"/>
      <c r="Q55" s="24"/>
    </row>
    <row r="56" spans="1:8" ht="18.75">
      <c r="A56" s="180" t="s">
        <v>17</v>
      </c>
      <c r="B56" s="180"/>
      <c r="C56" s="180"/>
      <c r="D56" s="180"/>
      <c r="E56" s="180"/>
      <c r="F56" s="180"/>
      <c r="G56" s="180"/>
      <c r="H56" s="10"/>
    </row>
    <row r="57" spans="1:8" ht="18.75" customHeight="1" hidden="1">
      <c r="A57" s="181" t="s">
        <v>35</v>
      </c>
      <c r="B57" s="181"/>
      <c r="C57" s="5" t="e">
        <f>C54-#REF!</f>
        <v>#REF!</v>
      </c>
      <c r="D57" s="10" t="s">
        <v>18</v>
      </c>
      <c r="E57" s="10"/>
      <c r="F57" s="10"/>
      <c r="G57" s="10"/>
      <c r="H57" s="10"/>
    </row>
    <row r="58" spans="1:8" ht="18.75" customHeight="1" hidden="1">
      <c r="A58" s="181" t="s">
        <v>36</v>
      </c>
      <c r="B58" s="181"/>
      <c r="C58" s="85">
        <f>E51-F51</f>
        <v>-4145.0500000000175</v>
      </c>
      <c r="D58" s="84" t="str">
        <f>D57</f>
        <v>рублей</v>
      </c>
      <c r="H58" s="28"/>
    </row>
  </sheetData>
  <sheetProtection/>
  <mergeCells count="18">
    <mergeCell ref="A1:G2"/>
    <mergeCell ref="A3:G3"/>
    <mergeCell ref="A4:H5"/>
    <mergeCell ref="F9:F11"/>
    <mergeCell ref="G9:G11"/>
    <mergeCell ref="J9:Q12"/>
    <mergeCell ref="R9:X12"/>
    <mergeCell ref="A9:A11"/>
    <mergeCell ref="B9:B11"/>
    <mergeCell ref="C9:D10"/>
    <mergeCell ref="E9:E11"/>
    <mergeCell ref="A56:G56"/>
    <mergeCell ref="A57:B57"/>
    <mergeCell ref="A58:B58"/>
    <mergeCell ref="A54:B54"/>
    <mergeCell ref="A55:B55"/>
    <mergeCell ref="C55:D55"/>
    <mergeCell ref="C54:D5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  <rowBreaks count="1" manualBreakCount="1">
    <brk id="40" max="6" man="1"/>
  </rowBreaks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A63"/>
  <sheetViews>
    <sheetView view="pageBreakPreview" zoomScale="75" zoomScaleSheetLayoutView="75" zoomScalePageLayoutView="0" workbookViewId="0" topLeftCell="A34">
      <selection activeCell="F57" sqref="F57"/>
    </sheetView>
  </sheetViews>
  <sheetFormatPr defaultColWidth="9.00390625" defaultRowHeight="12.75"/>
  <cols>
    <col min="2" max="2" width="47.25390625" style="0" customWidth="1"/>
    <col min="3" max="3" width="13.25390625" style="0" customWidth="1"/>
    <col min="4" max="5" width="14.625" style="0" customWidth="1"/>
    <col min="6" max="6" width="14.375" style="0" customWidth="1"/>
    <col min="7" max="7" width="16.125" style="0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4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36.75" customHeight="1">
      <c r="A3" s="182" t="s">
        <v>41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3191.46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184" t="s">
        <v>8</v>
      </c>
      <c r="B9" s="184" t="s">
        <v>6</v>
      </c>
      <c r="C9" s="185" t="s">
        <v>32</v>
      </c>
      <c r="D9" s="186"/>
      <c r="E9" s="189" t="s">
        <v>99</v>
      </c>
      <c r="F9" s="178" t="s">
        <v>74</v>
      </c>
      <c r="G9" s="178" t="s">
        <v>283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61.5" customHeight="1">
      <c r="A10" s="184"/>
      <c r="B10" s="184"/>
      <c r="C10" s="187"/>
      <c r="D10" s="188"/>
      <c r="E10" s="190"/>
      <c r="F10" s="178"/>
      <c r="G10" s="178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82.5" customHeight="1">
      <c r="A11" s="184"/>
      <c r="B11" s="184"/>
      <c r="C11" s="87" t="s">
        <v>107</v>
      </c>
      <c r="D11" s="87" t="s">
        <v>106</v>
      </c>
      <c r="E11" s="191"/>
      <c r="F11" s="178"/>
      <c r="G11" s="178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13" t="s">
        <v>12</v>
      </c>
      <c r="B12" s="14" t="s">
        <v>20</v>
      </c>
      <c r="C12" s="13"/>
      <c r="D12" s="13"/>
      <c r="E12" s="13"/>
      <c r="F12" s="13"/>
      <c r="G12" s="1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27" ht="18.75">
      <c r="A13" s="15" t="s">
        <v>13</v>
      </c>
      <c r="B13" s="14" t="s">
        <v>10</v>
      </c>
      <c r="C13" s="34">
        <v>1.09</v>
      </c>
      <c r="D13" s="34">
        <v>1.14</v>
      </c>
      <c r="E13" s="16">
        <f aca="true" t="shared" si="0" ref="E13:E18">Y13*Z13*6</f>
        <v>42701.7348</v>
      </c>
      <c r="F13" s="16">
        <f>E13</f>
        <v>42701.7348</v>
      </c>
      <c r="G13" s="16">
        <f aca="true" t="shared" si="1" ref="G13:G18">AA13*Y13*12</f>
        <v>43659.17279999999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3191.46</v>
      </c>
      <c r="K13">
        <v>6</v>
      </c>
      <c r="L13">
        <v>2</v>
      </c>
      <c r="M13">
        <v>4</v>
      </c>
      <c r="N13" s="20">
        <f aca="true" t="shared" si="4" ref="N13:N18">C13*J13*K13</f>
        <v>20872.148400000002</v>
      </c>
      <c r="O13" s="20" t="e">
        <f>J13*#REF!*L13</f>
        <v>#REF!</v>
      </c>
      <c r="P13" s="20">
        <f aca="true" t="shared" si="5" ref="P13:P18">D13*J13*M13</f>
        <v>14553.057599999998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20106.198000000004</v>
      </c>
      <c r="W13">
        <f aca="true" t="shared" si="8" ref="W13:W18">U13*S13*J13</f>
        <v>20872.148400000002</v>
      </c>
      <c r="X13">
        <f aca="true" t="shared" si="9" ref="X13:X18">SUM(V13:W13)</f>
        <v>40978.34640000001</v>
      </c>
      <c r="Y13">
        <f>C7</f>
        <v>3191.46</v>
      </c>
      <c r="Z13" s="22">
        <f aca="true" t="shared" si="10" ref="Z13:Z18">C13+D13</f>
        <v>2.23</v>
      </c>
      <c r="AA13" s="34">
        <v>1.14</v>
      </c>
    </row>
    <row r="14" spans="1:27" ht="37.5">
      <c r="A14" s="15" t="s">
        <v>14</v>
      </c>
      <c r="B14" s="14" t="s">
        <v>15</v>
      </c>
      <c r="C14" s="34">
        <v>1.39</v>
      </c>
      <c r="D14" s="34">
        <v>1.46</v>
      </c>
      <c r="E14" s="16">
        <f t="shared" si="0"/>
        <v>54573.965999999986</v>
      </c>
      <c r="F14" s="16">
        <f>E14</f>
        <v>54573.965999999986</v>
      </c>
      <c r="G14" s="16">
        <f t="shared" si="1"/>
        <v>55914.3792</v>
      </c>
      <c r="H14" s="17">
        <f t="shared" si="2"/>
        <v>1.4594110115189</v>
      </c>
      <c r="I14" s="18">
        <f t="shared" si="3"/>
        <v>1.5572983354607999</v>
      </c>
      <c r="J14" s="19">
        <f>J13</f>
        <v>3191.46</v>
      </c>
      <c r="K14">
        <v>6</v>
      </c>
      <c r="L14">
        <v>2</v>
      </c>
      <c r="M14">
        <v>4</v>
      </c>
      <c r="N14" s="20">
        <f t="shared" si="4"/>
        <v>26616.7764</v>
      </c>
      <c r="O14" s="20" t="e">
        <f>J14*#REF!*L14</f>
        <v>#REF!</v>
      </c>
      <c r="P14" s="20">
        <f t="shared" si="5"/>
        <v>18638.1264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25467.8508</v>
      </c>
      <c r="W14">
        <f t="shared" si="8"/>
        <v>26616.7764</v>
      </c>
      <c r="X14">
        <f t="shared" si="9"/>
        <v>52084.6272</v>
      </c>
      <c r="Y14">
        <f>Y13</f>
        <v>3191.46</v>
      </c>
      <c r="Z14" s="22">
        <f t="shared" si="10"/>
        <v>2.8499999999999996</v>
      </c>
      <c r="AA14" s="34">
        <v>1.46</v>
      </c>
    </row>
    <row r="15" spans="1:27" ht="18.75">
      <c r="A15" s="15" t="s">
        <v>16</v>
      </c>
      <c r="B15" s="14" t="s">
        <v>7</v>
      </c>
      <c r="C15" s="34"/>
      <c r="D15" s="34"/>
      <c r="E15" s="16"/>
      <c r="F15" s="16"/>
      <c r="G15" s="16"/>
      <c r="H15" s="17">
        <f t="shared" si="2"/>
        <v>0</v>
      </c>
      <c r="I15" s="18">
        <f t="shared" si="3"/>
        <v>0</v>
      </c>
      <c r="J15" s="19">
        <f>J14</f>
        <v>3191.46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2489.3388000000004</v>
      </c>
      <c r="W15">
        <f t="shared" si="8"/>
        <v>0</v>
      </c>
      <c r="X15">
        <f t="shared" si="9"/>
        <v>2489.3388000000004</v>
      </c>
      <c r="Y15">
        <f>Y14</f>
        <v>3191.46</v>
      </c>
      <c r="Z15" s="22">
        <f t="shared" si="10"/>
        <v>0</v>
      </c>
      <c r="AA15" s="34">
        <v>0</v>
      </c>
    </row>
    <row r="16" spans="1:27" ht="18.75">
      <c r="A16" s="15" t="s">
        <v>21</v>
      </c>
      <c r="B16" s="14" t="s">
        <v>11</v>
      </c>
      <c r="C16" s="34">
        <v>0.82</v>
      </c>
      <c r="D16" s="34">
        <v>0.58</v>
      </c>
      <c r="E16" s="16">
        <f t="shared" si="0"/>
        <v>26808.264</v>
      </c>
      <c r="F16" s="16">
        <f>E16</f>
        <v>26808.264</v>
      </c>
      <c r="G16" s="16">
        <f t="shared" si="1"/>
        <v>22212.561599999997</v>
      </c>
      <c r="H16" s="17">
        <f t="shared" si="2"/>
        <v>0.8609475031982</v>
      </c>
      <c r="I16" s="18">
        <f t="shared" si="3"/>
        <v>0.9186939820703999</v>
      </c>
      <c r="J16" s="19">
        <f>J15</f>
        <v>3191.46</v>
      </c>
      <c r="K16">
        <v>6</v>
      </c>
      <c r="L16">
        <v>2</v>
      </c>
      <c r="M16">
        <v>4</v>
      </c>
      <c r="N16" s="20">
        <f t="shared" si="4"/>
        <v>15701.983199999999</v>
      </c>
      <c r="O16" s="20" t="e">
        <f>J16*#REF!*L16</f>
        <v>#REF!</v>
      </c>
      <c r="P16" s="20">
        <f t="shared" si="5"/>
        <v>7404.187199999999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15127.520400000001</v>
      </c>
      <c r="W16">
        <f t="shared" si="8"/>
        <v>15701.9832</v>
      </c>
      <c r="X16">
        <f t="shared" si="9"/>
        <v>30829.503600000004</v>
      </c>
      <c r="Y16">
        <f>Y15</f>
        <v>3191.46</v>
      </c>
      <c r="Z16" s="22">
        <f t="shared" si="10"/>
        <v>1.4</v>
      </c>
      <c r="AA16" s="34">
        <v>0.58</v>
      </c>
    </row>
    <row r="17" spans="1:27" ht="18.75">
      <c r="A17" s="15" t="s">
        <v>22</v>
      </c>
      <c r="B17" s="14" t="s">
        <v>19</v>
      </c>
      <c r="C17" s="34">
        <v>1.24</v>
      </c>
      <c r="D17" s="34">
        <v>1.24</v>
      </c>
      <c r="E17" s="16">
        <f t="shared" si="0"/>
        <v>47488.9248</v>
      </c>
      <c r="F17" s="16">
        <f>E17</f>
        <v>47488.9248</v>
      </c>
      <c r="G17" s="16">
        <f t="shared" si="1"/>
        <v>47488.9248</v>
      </c>
      <c r="H17" s="17">
        <f t="shared" si="2"/>
        <v>1.3019206145924</v>
      </c>
      <c r="I17" s="18">
        <f t="shared" si="3"/>
        <v>1.3892445582528</v>
      </c>
      <c r="J17" s="19">
        <f>J16</f>
        <v>3191.46</v>
      </c>
      <c r="K17">
        <v>6</v>
      </c>
      <c r="L17">
        <v>2</v>
      </c>
      <c r="M17">
        <v>4</v>
      </c>
      <c r="N17" s="20">
        <f t="shared" si="4"/>
        <v>23744.4624</v>
      </c>
      <c r="O17" s="20" t="e">
        <f>J17*#REF!*L17</f>
        <v>#REF!</v>
      </c>
      <c r="P17" s="20">
        <f t="shared" si="5"/>
        <v>15829.6416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23744.4624</v>
      </c>
      <c r="W17">
        <f t="shared" si="8"/>
        <v>23744.4624</v>
      </c>
      <c r="X17">
        <f t="shared" si="9"/>
        <v>47488.9248</v>
      </c>
      <c r="Y17">
        <f>Y16</f>
        <v>3191.46</v>
      </c>
      <c r="Z17" s="22">
        <f t="shared" si="10"/>
        <v>2.48</v>
      </c>
      <c r="AA17" s="34">
        <v>1.24</v>
      </c>
    </row>
    <row r="18" spans="1:27" ht="75">
      <c r="A18" s="15" t="s">
        <v>23</v>
      </c>
      <c r="B18" s="14" t="s">
        <v>24</v>
      </c>
      <c r="C18" s="34">
        <v>4.47</v>
      </c>
      <c r="D18" s="34">
        <v>5.18</v>
      </c>
      <c r="E18" s="16">
        <f t="shared" si="0"/>
        <v>184785.53399999999</v>
      </c>
      <c r="F18" s="101">
        <f>F20+F21+F23+F24+F26+F27+F29+F30+F32+F33+F35+F36+F38+F39+F41+F42+F44+F45+F47+F48+F50+F51+F53+F54</f>
        <v>148592.02000000002</v>
      </c>
      <c r="G18" s="16">
        <f t="shared" si="1"/>
        <v>198381.15360000002</v>
      </c>
      <c r="H18" s="17">
        <f t="shared" si="2"/>
        <v>4.6932138284097</v>
      </c>
      <c r="I18" s="18">
        <f t="shared" si="3"/>
        <v>5.008002560798399</v>
      </c>
      <c r="J18" s="19">
        <f>J17</f>
        <v>3191.46</v>
      </c>
      <c r="K18">
        <v>6</v>
      </c>
      <c r="L18">
        <v>2</v>
      </c>
      <c r="M18">
        <v>4</v>
      </c>
      <c r="N18" s="20">
        <f t="shared" si="4"/>
        <v>85594.9572</v>
      </c>
      <c r="O18" s="20" t="e">
        <f>J18*#REF!*L18</f>
        <v>#REF!</v>
      </c>
      <c r="P18" s="20">
        <f t="shared" si="5"/>
        <v>66127.0512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80616.2796</v>
      </c>
      <c r="W18">
        <f t="shared" si="8"/>
        <v>88467.2712</v>
      </c>
      <c r="X18">
        <f t="shared" si="9"/>
        <v>169083.5508</v>
      </c>
      <c r="Y18">
        <f>Y17</f>
        <v>3191.46</v>
      </c>
      <c r="Z18" s="22">
        <f t="shared" si="10"/>
        <v>9.649999999999999</v>
      </c>
      <c r="AA18" s="34">
        <v>5.18</v>
      </c>
    </row>
    <row r="19" spans="1:19" ht="18.75">
      <c r="A19" s="15"/>
      <c r="B19" s="34" t="s">
        <v>75</v>
      </c>
      <c r="C19" s="16"/>
      <c r="D19" s="16"/>
      <c r="E19" s="16"/>
      <c r="F19" s="101"/>
      <c r="G19" s="16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75">
      <c r="A20" s="15"/>
      <c r="B20" s="14" t="s">
        <v>930</v>
      </c>
      <c r="C20" s="16"/>
      <c r="D20" s="16"/>
      <c r="E20" s="16"/>
      <c r="F20" s="102">
        <v>17193.54</v>
      </c>
      <c r="G20" s="16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18.75">
      <c r="A21" s="15"/>
      <c r="B21" s="14" t="s">
        <v>284</v>
      </c>
      <c r="C21" s="16"/>
      <c r="D21" s="16"/>
      <c r="E21" s="16"/>
      <c r="F21" s="102">
        <v>345.49</v>
      </c>
      <c r="G21" s="16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18.75">
      <c r="A22" s="15"/>
      <c r="B22" s="33" t="s">
        <v>88</v>
      </c>
      <c r="C22" s="16"/>
      <c r="D22" s="16"/>
      <c r="E22" s="16"/>
      <c r="F22" s="102"/>
      <c r="G22" s="16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75.75" customHeight="1">
      <c r="A23" s="15"/>
      <c r="B23" s="14" t="s">
        <v>285</v>
      </c>
      <c r="C23" s="16"/>
      <c r="D23" s="16"/>
      <c r="E23" s="16"/>
      <c r="F23" s="102">
        <v>19248.19</v>
      </c>
      <c r="G23" s="16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15"/>
      <c r="B24" s="14" t="s">
        <v>270</v>
      </c>
      <c r="C24" s="16"/>
      <c r="D24" s="16"/>
      <c r="E24" s="16"/>
      <c r="F24" s="102">
        <v>362.32</v>
      </c>
      <c r="G24" s="16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15"/>
      <c r="B25" s="33" t="s">
        <v>89</v>
      </c>
      <c r="C25" s="16"/>
      <c r="D25" s="16"/>
      <c r="E25" s="16"/>
      <c r="F25" s="115"/>
      <c r="G25" s="16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37.5">
      <c r="A26" s="15"/>
      <c r="B26" s="14" t="s">
        <v>286</v>
      </c>
      <c r="C26" s="16"/>
      <c r="D26" s="16"/>
      <c r="E26" s="16"/>
      <c r="F26" s="115">
        <v>8904.54</v>
      </c>
      <c r="G26" s="16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18.75">
      <c r="A27" s="15"/>
      <c r="B27" s="14" t="s">
        <v>287</v>
      </c>
      <c r="C27" s="16"/>
      <c r="D27" s="16"/>
      <c r="E27" s="16"/>
      <c r="F27" s="115">
        <v>317.71</v>
      </c>
      <c r="G27" s="16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15"/>
      <c r="B28" s="33" t="s">
        <v>90</v>
      </c>
      <c r="C28" s="16"/>
      <c r="D28" s="16"/>
      <c r="E28" s="16"/>
      <c r="F28" s="115"/>
      <c r="G28" s="16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56.25">
      <c r="A29" s="15"/>
      <c r="B29" s="14" t="s">
        <v>288</v>
      </c>
      <c r="C29" s="16"/>
      <c r="D29" s="16"/>
      <c r="E29" s="16"/>
      <c r="F29" s="115">
        <v>11631.04</v>
      </c>
      <c r="G29" s="16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37.5">
      <c r="A30" s="15"/>
      <c r="B30" s="14" t="s">
        <v>289</v>
      </c>
      <c r="C30" s="16"/>
      <c r="D30" s="16"/>
      <c r="E30" s="16"/>
      <c r="F30" s="115">
        <v>437.08</v>
      </c>
      <c r="G30" s="16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15"/>
      <c r="B31" s="33" t="s">
        <v>91</v>
      </c>
      <c r="C31" s="16"/>
      <c r="D31" s="16"/>
      <c r="E31" s="16"/>
      <c r="F31" s="115"/>
      <c r="G31" s="16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18.75">
      <c r="A32" s="15"/>
      <c r="B32" s="14" t="s">
        <v>290</v>
      </c>
      <c r="C32" s="16"/>
      <c r="D32" s="16"/>
      <c r="E32" s="16"/>
      <c r="F32" s="115">
        <v>8179.06</v>
      </c>
      <c r="G32" s="16"/>
      <c r="H32" s="17"/>
      <c r="I32" s="18"/>
      <c r="J32" s="19"/>
      <c r="N32" s="20"/>
      <c r="O32" s="20"/>
      <c r="P32" s="20"/>
      <c r="Q32" s="21"/>
      <c r="R32" s="22"/>
      <c r="S32" s="22"/>
    </row>
    <row r="33" spans="1:19" ht="18.75">
      <c r="A33" s="15"/>
      <c r="B33" s="14" t="s">
        <v>291</v>
      </c>
      <c r="C33" s="16"/>
      <c r="D33" s="16"/>
      <c r="E33" s="16"/>
      <c r="F33" s="108">
        <v>230.42</v>
      </c>
      <c r="G33" s="16"/>
      <c r="H33" s="17"/>
      <c r="I33" s="18"/>
      <c r="J33" s="19"/>
      <c r="N33" s="20"/>
      <c r="O33" s="20"/>
      <c r="P33" s="20"/>
      <c r="Q33" s="21"/>
      <c r="R33" s="22"/>
      <c r="S33" s="22"/>
    </row>
    <row r="34" spans="1:19" ht="18.75">
      <c r="A34" s="15"/>
      <c r="B34" s="33" t="s">
        <v>92</v>
      </c>
      <c r="C34" s="16"/>
      <c r="D34" s="16"/>
      <c r="E34" s="16"/>
      <c r="F34" s="115"/>
      <c r="G34" s="16"/>
      <c r="H34" s="17"/>
      <c r="I34" s="18"/>
      <c r="J34" s="19"/>
      <c r="N34" s="20"/>
      <c r="O34" s="20"/>
      <c r="P34" s="20"/>
      <c r="Q34" s="21"/>
      <c r="R34" s="22"/>
      <c r="S34" s="22"/>
    </row>
    <row r="35" spans="1:24" ht="37.5">
      <c r="A35" s="13"/>
      <c r="B35" s="14" t="s">
        <v>292</v>
      </c>
      <c r="C35" s="16"/>
      <c r="D35" s="16"/>
      <c r="E35" s="16"/>
      <c r="F35" s="115">
        <v>8392.48</v>
      </c>
      <c r="G35" s="16"/>
      <c r="H35" s="17"/>
      <c r="I35" s="18"/>
      <c r="J35" s="19"/>
      <c r="K35">
        <v>6</v>
      </c>
      <c r="L35">
        <v>2</v>
      </c>
      <c r="M35">
        <v>4</v>
      </c>
      <c r="N35" s="20">
        <f>C35*J35*K35</f>
        <v>0</v>
      </c>
      <c r="O35" s="20" t="e">
        <f>J35*#REF!*L35</f>
        <v>#REF!</v>
      </c>
      <c r="P35" s="20">
        <f>D35*J35*M35</f>
        <v>0</v>
      </c>
      <c r="Q35" s="24"/>
      <c r="R35" s="22"/>
      <c r="V35">
        <f>J35*R35*U35</f>
        <v>0</v>
      </c>
      <c r="W35">
        <f>U35*S35*J35</f>
        <v>0</v>
      </c>
      <c r="X35">
        <f>SUM(V35:W35)</f>
        <v>0</v>
      </c>
    </row>
    <row r="36" spans="1:18" ht="18.75">
      <c r="A36" s="13"/>
      <c r="B36" s="14" t="s">
        <v>293</v>
      </c>
      <c r="C36" s="16"/>
      <c r="D36" s="16"/>
      <c r="E36" s="16"/>
      <c r="F36" s="115">
        <v>3415.51</v>
      </c>
      <c r="G36" s="16"/>
      <c r="H36" s="17"/>
      <c r="I36" s="18"/>
      <c r="J36" s="19"/>
      <c r="N36" s="20"/>
      <c r="O36" s="20"/>
      <c r="P36" s="20"/>
      <c r="Q36" s="24"/>
      <c r="R36" s="22"/>
    </row>
    <row r="37" spans="1:24" ht="21" customHeight="1">
      <c r="A37" s="15"/>
      <c r="B37" s="33" t="s">
        <v>93</v>
      </c>
      <c r="C37" s="16"/>
      <c r="D37" s="16"/>
      <c r="E37" s="16"/>
      <c r="F37" s="115"/>
      <c r="G37" s="16"/>
      <c r="H37" s="17"/>
      <c r="I37" s="18"/>
      <c r="J37" s="19"/>
      <c r="K37">
        <v>6</v>
      </c>
      <c r="L37">
        <v>2</v>
      </c>
      <c r="M37">
        <v>4</v>
      </c>
      <c r="N37" s="20">
        <f>C37*J37*K37</f>
        <v>0</v>
      </c>
      <c r="O37" s="20" t="e">
        <f>J37*#REF!*L37</f>
        <v>#REF!</v>
      </c>
      <c r="P37" s="20">
        <f>D37*J37*M37</f>
        <v>0</v>
      </c>
      <c r="Q37" s="24"/>
      <c r="R37" s="22"/>
      <c r="V37">
        <f>J37*R37*U37</f>
        <v>0</v>
      </c>
      <c r="W37">
        <f>U37*S37*J37</f>
        <v>0</v>
      </c>
      <c r="X37">
        <f>SUM(V37:W37)</f>
        <v>0</v>
      </c>
    </row>
    <row r="38" spans="1:24" ht="37.5">
      <c r="A38" s="15"/>
      <c r="B38" s="14" t="s">
        <v>294</v>
      </c>
      <c r="C38" s="16"/>
      <c r="D38" s="16"/>
      <c r="E38" s="16"/>
      <c r="F38" s="115">
        <v>7791.21</v>
      </c>
      <c r="G38" s="16"/>
      <c r="H38" s="17"/>
      <c r="I38" s="18"/>
      <c r="J38" s="19"/>
      <c r="K38">
        <v>6</v>
      </c>
      <c r="L38">
        <v>2</v>
      </c>
      <c r="M38">
        <v>4</v>
      </c>
      <c r="N38" s="20">
        <f>C38*J38*K38</f>
        <v>0</v>
      </c>
      <c r="O38" s="20" t="e">
        <f>J38*#REF!*L38</f>
        <v>#REF!</v>
      </c>
      <c r="P38" s="20">
        <f>D38*J38*M38</f>
        <v>0</v>
      </c>
      <c r="Q38" s="24"/>
      <c r="R38" s="22"/>
      <c r="V38">
        <f>J38*R38*U38</f>
        <v>0</v>
      </c>
      <c r="W38">
        <f>U38*S38*J38</f>
        <v>0</v>
      </c>
      <c r="X38">
        <f>SUM(V38:W38)</f>
        <v>0</v>
      </c>
    </row>
    <row r="39" spans="1:18" ht="37.5">
      <c r="A39" s="15"/>
      <c r="B39" s="14" t="s">
        <v>295</v>
      </c>
      <c r="C39" s="16"/>
      <c r="D39" s="16"/>
      <c r="E39" s="16"/>
      <c r="F39" s="115">
        <v>1118.16</v>
      </c>
      <c r="G39" s="23"/>
      <c r="H39" s="17"/>
      <c r="I39" s="18"/>
      <c r="J39" s="19"/>
      <c r="N39" s="20"/>
      <c r="O39" s="20"/>
      <c r="P39" s="20"/>
      <c r="Q39" s="24"/>
      <c r="R39" s="22"/>
    </row>
    <row r="40" spans="1:18" ht="18.75">
      <c r="A40" s="15"/>
      <c r="B40" s="33" t="s">
        <v>94</v>
      </c>
      <c r="C40" s="16"/>
      <c r="D40" s="16"/>
      <c r="E40" s="16"/>
      <c r="F40" s="115"/>
      <c r="G40" s="23"/>
      <c r="H40" s="17"/>
      <c r="I40" s="18"/>
      <c r="J40" s="19"/>
      <c r="N40" s="20"/>
      <c r="O40" s="20"/>
      <c r="P40" s="20"/>
      <c r="Q40" s="24"/>
      <c r="R40" s="22"/>
    </row>
    <row r="41" spans="1:18" ht="75">
      <c r="A41" s="15"/>
      <c r="B41" s="14" t="s">
        <v>296</v>
      </c>
      <c r="C41" s="16"/>
      <c r="D41" s="16"/>
      <c r="E41" s="16"/>
      <c r="F41" s="115">
        <v>10050.74</v>
      </c>
      <c r="G41" s="23"/>
      <c r="H41" s="17"/>
      <c r="I41" s="18"/>
      <c r="J41" s="19"/>
      <c r="N41" s="20"/>
      <c r="O41" s="20"/>
      <c r="P41" s="20"/>
      <c r="Q41" s="24"/>
      <c r="R41" s="22"/>
    </row>
    <row r="42" spans="1:18" ht="37.5">
      <c r="A42" s="15"/>
      <c r="B42" s="14" t="s">
        <v>297</v>
      </c>
      <c r="C42" s="16"/>
      <c r="D42" s="16"/>
      <c r="E42" s="16"/>
      <c r="F42" s="115">
        <v>1968.25</v>
      </c>
      <c r="G42" s="23"/>
      <c r="H42" s="17"/>
      <c r="I42" s="18"/>
      <c r="J42" s="19"/>
      <c r="N42" s="20"/>
      <c r="O42" s="20"/>
      <c r="P42" s="20"/>
      <c r="Q42" s="24"/>
      <c r="R42" s="22"/>
    </row>
    <row r="43" spans="1:18" ht="18.75">
      <c r="A43" s="15"/>
      <c r="B43" s="33" t="s">
        <v>98</v>
      </c>
      <c r="C43" s="16"/>
      <c r="D43" s="16"/>
      <c r="E43" s="16"/>
      <c r="F43" s="115"/>
      <c r="G43" s="23"/>
      <c r="H43" s="17"/>
      <c r="I43" s="18"/>
      <c r="J43" s="19"/>
      <c r="N43" s="20"/>
      <c r="O43" s="20"/>
      <c r="P43" s="20"/>
      <c r="Q43" s="24"/>
      <c r="R43" s="22"/>
    </row>
    <row r="44" spans="1:18" ht="37.5">
      <c r="A44" s="15"/>
      <c r="B44" s="14" t="s">
        <v>298</v>
      </c>
      <c r="C44" s="16"/>
      <c r="D44" s="16"/>
      <c r="E44" s="16"/>
      <c r="F44" s="115">
        <v>6213.16</v>
      </c>
      <c r="G44" s="23"/>
      <c r="H44" s="17"/>
      <c r="I44" s="18"/>
      <c r="J44" s="19"/>
      <c r="N44" s="20"/>
      <c r="O44" s="20"/>
      <c r="P44" s="20"/>
      <c r="Q44" s="24"/>
      <c r="R44" s="22"/>
    </row>
    <row r="45" spans="1:18" ht="18.75">
      <c r="A45" s="15"/>
      <c r="B45" s="14" t="s">
        <v>299</v>
      </c>
      <c r="C45" s="16"/>
      <c r="D45" s="16"/>
      <c r="E45" s="16"/>
      <c r="F45" s="115">
        <v>5361.48</v>
      </c>
      <c r="G45" s="23"/>
      <c r="H45" s="17"/>
      <c r="I45" s="18"/>
      <c r="J45" s="19"/>
      <c r="N45" s="20"/>
      <c r="O45" s="20"/>
      <c r="P45" s="20"/>
      <c r="Q45" s="24"/>
      <c r="R45" s="22"/>
    </row>
    <row r="46" spans="1:18" ht="18.75">
      <c r="A46" s="15"/>
      <c r="B46" s="33" t="s">
        <v>95</v>
      </c>
      <c r="C46" s="16"/>
      <c r="D46" s="16"/>
      <c r="E46" s="16"/>
      <c r="F46" s="115"/>
      <c r="G46" s="23"/>
      <c r="H46" s="17"/>
      <c r="I46" s="18"/>
      <c r="J46" s="19"/>
      <c r="N46" s="20"/>
      <c r="O46" s="20"/>
      <c r="P46" s="20"/>
      <c r="Q46" s="24"/>
      <c r="R46" s="22"/>
    </row>
    <row r="47" spans="1:18" ht="75">
      <c r="A47" s="15"/>
      <c r="B47" s="14" t="s">
        <v>300</v>
      </c>
      <c r="C47" s="16"/>
      <c r="D47" s="16"/>
      <c r="E47" s="16"/>
      <c r="F47" s="115">
        <v>21467.35</v>
      </c>
      <c r="G47" s="23"/>
      <c r="H47" s="17"/>
      <c r="I47" s="18"/>
      <c r="J47" s="19"/>
      <c r="N47" s="20"/>
      <c r="O47" s="20"/>
      <c r="P47" s="20"/>
      <c r="Q47" s="24"/>
      <c r="R47" s="22"/>
    </row>
    <row r="48" spans="1:18" ht="18.75">
      <c r="A48" s="15"/>
      <c r="B48" s="14" t="s">
        <v>301</v>
      </c>
      <c r="C48" s="16"/>
      <c r="D48" s="16"/>
      <c r="E48" s="16"/>
      <c r="F48" s="115">
        <v>285.81</v>
      </c>
      <c r="G48" s="23"/>
      <c r="H48" s="17"/>
      <c r="I48" s="18"/>
      <c r="J48" s="19"/>
      <c r="N48" s="20"/>
      <c r="O48" s="20"/>
      <c r="P48" s="20"/>
      <c r="Q48" s="24"/>
      <c r="R48" s="22"/>
    </row>
    <row r="49" spans="1:18" ht="18.75">
      <c r="A49" s="15"/>
      <c r="B49" s="33" t="s">
        <v>96</v>
      </c>
      <c r="C49" s="16"/>
      <c r="D49" s="16"/>
      <c r="E49" s="16"/>
      <c r="F49" s="115"/>
      <c r="G49" s="23"/>
      <c r="H49" s="17"/>
      <c r="I49" s="18"/>
      <c r="J49" s="19"/>
      <c r="N49" s="20"/>
      <c r="O49" s="20"/>
      <c r="P49" s="20"/>
      <c r="Q49" s="24"/>
      <c r="R49" s="22"/>
    </row>
    <row r="50" spans="1:18" ht="56.25">
      <c r="A50" s="15"/>
      <c r="B50" s="14" t="s">
        <v>302</v>
      </c>
      <c r="C50" s="16"/>
      <c r="D50" s="16"/>
      <c r="E50" s="16"/>
      <c r="F50" s="115">
        <v>10494.67</v>
      </c>
      <c r="G50" s="23"/>
      <c r="H50" s="17"/>
      <c r="I50" s="18"/>
      <c r="J50" s="19"/>
      <c r="N50" s="20"/>
      <c r="O50" s="20"/>
      <c r="P50" s="20"/>
      <c r="Q50" s="24"/>
      <c r="R50" s="22"/>
    </row>
    <row r="51" spans="1:18" ht="18.75">
      <c r="A51" s="15"/>
      <c r="B51" s="14" t="s">
        <v>303</v>
      </c>
      <c r="C51" s="16"/>
      <c r="D51" s="16"/>
      <c r="E51" s="16"/>
      <c r="F51" s="115">
        <v>259.29</v>
      </c>
      <c r="G51" s="23"/>
      <c r="H51" s="17"/>
      <c r="I51" s="18"/>
      <c r="J51" s="19"/>
      <c r="N51" s="20"/>
      <c r="O51" s="20"/>
      <c r="P51" s="20"/>
      <c r="Q51" s="24"/>
      <c r="R51" s="22"/>
    </row>
    <row r="52" spans="1:18" ht="18.75">
      <c r="A52" s="15"/>
      <c r="B52" s="33" t="s">
        <v>97</v>
      </c>
      <c r="C52" s="16"/>
      <c r="D52" s="16"/>
      <c r="E52" s="16"/>
      <c r="F52" s="115"/>
      <c r="G52" s="23"/>
      <c r="H52" s="17"/>
      <c r="I52" s="18"/>
      <c r="J52" s="19"/>
      <c r="N52" s="20"/>
      <c r="O52" s="20"/>
      <c r="P52" s="20"/>
      <c r="Q52" s="24"/>
      <c r="R52" s="22"/>
    </row>
    <row r="53" spans="1:18" ht="36" customHeight="1">
      <c r="A53" s="15"/>
      <c r="B53" s="14" t="s">
        <v>304</v>
      </c>
      <c r="C53" s="16"/>
      <c r="D53" s="16"/>
      <c r="E53" s="16"/>
      <c r="F53" s="115">
        <v>4374.34</v>
      </c>
      <c r="G53" s="23"/>
      <c r="H53" s="17"/>
      <c r="I53" s="18"/>
      <c r="J53" s="19"/>
      <c r="N53" s="20"/>
      <c r="O53" s="20"/>
      <c r="P53" s="20"/>
      <c r="Q53" s="24"/>
      <c r="R53" s="22"/>
    </row>
    <row r="54" spans="1:18" ht="37.5">
      <c r="A54" s="15"/>
      <c r="B54" s="14" t="s">
        <v>305</v>
      </c>
      <c r="C54" s="16"/>
      <c r="D54" s="16"/>
      <c r="E54" s="16"/>
      <c r="F54" s="115">
        <v>550.18</v>
      </c>
      <c r="G54" s="23"/>
      <c r="H54" s="17"/>
      <c r="I54" s="18"/>
      <c r="J54" s="19"/>
      <c r="N54" s="20"/>
      <c r="O54" s="20"/>
      <c r="P54" s="20"/>
      <c r="Q54" s="24"/>
      <c r="R54" s="22"/>
    </row>
    <row r="55" spans="1:18" ht="75">
      <c r="A55" s="15"/>
      <c r="B55" s="14" t="s">
        <v>943</v>
      </c>
      <c r="C55" s="16"/>
      <c r="D55" s="16"/>
      <c r="E55" s="16">
        <v>-5654.16</v>
      </c>
      <c r="F55" s="115">
        <f>E55</f>
        <v>-5654.16</v>
      </c>
      <c r="G55" s="23"/>
      <c r="H55" s="17"/>
      <c r="I55" s="18"/>
      <c r="J55" s="19"/>
      <c r="N55" s="20"/>
      <c r="O55" s="20"/>
      <c r="P55" s="20"/>
      <c r="Q55" s="24"/>
      <c r="R55" s="22"/>
    </row>
    <row r="56" spans="1:24" ht="18.75">
      <c r="A56" s="12"/>
      <c r="B56" s="14" t="s">
        <v>9</v>
      </c>
      <c r="C56" s="13">
        <f>SUM(C13:C38)</f>
        <v>9.01</v>
      </c>
      <c r="D56" s="13">
        <f>SUM(D13:D38)</f>
        <v>9.6</v>
      </c>
      <c r="E56" s="16">
        <f>SUM(E13:E38)+E55</f>
        <v>350704.2636</v>
      </c>
      <c r="F56" s="101">
        <f>F13+F14+F15+F16+F17+F18+F55</f>
        <v>314510.74960000004</v>
      </c>
      <c r="G56" s="16">
        <f>SUM(G13:G54)</f>
        <v>367656.19200000004</v>
      </c>
      <c r="H56" s="17">
        <f>1.04993597951*C56</f>
        <v>9.4599231753851</v>
      </c>
      <c r="I56" s="18">
        <f>1.12035851472*C56</f>
        <v>10.094430217627199</v>
      </c>
      <c r="J56" s="19">
        <f>J18</f>
        <v>3191.46</v>
      </c>
      <c r="N56" s="20"/>
      <c r="Q56" s="24"/>
      <c r="R56" s="22">
        <f>SUM(R13:R38)</f>
        <v>8.75</v>
      </c>
      <c r="S56" s="22">
        <f>SUM(S13:S38)</f>
        <v>9.16</v>
      </c>
      <c r="T56" s="22"/>
      <c r="U56" s="22"/>
      <c r="V56" s="22">
        <f>SUM(V13:V38)</f>
        <v>167551.65</v>
      </c>
      <c r="W56" s="22">
        <f>SUM(W13:W38)</f>
        <v>175402.6416</v>
      </c>
      <c r="X56" s="22">
        <f>SUM(X13:X38)</f>
        <v>342954.2916</v>
      </c>
    </row>
    <row r="57" spans="1:27" ht="18.75">
      <c r="A57" s="13">
        <v>5</v>
      </c>
      <c r="B57" s="25" t="s">
        <v>26</v>
      </c>
      <c r="C57" s="108">
        <v>1.58</v>
      </c>
      <c r="D57" s="108">
        <v>1.85</v>
      </c>
      <c r="E57" s="98">
        <f>Z57*Y57*6</f>
        <v>65680.2468</v>
      </c>
      <c r="F57" s="101">
        <f>E57</f>
        <v>65680.2468</v>
      </c>
      <c r="G57" s="101">
        <f>AA57*Y57*12</f>
        <v>72382.31279999999</v>
      </c>
      <c r="H57" t="e">
        <f>#REF!</f>
        <v>#REF!</v>
      </c>
      <c r="I57" s="22">
        <f>C57+D57</f>
        <v>3.43</v>
      </c>
      <c r="J57" s="34">
        <v>3.43</v>
      </c>
      <c r="K57">
        <v>10</v>
      </c>
      <c r="L57">
        <v>2</v>
      </c>
      <c r="N57" s="20">
        <f>C57*J57*K57</f>
        <v>54.194</v>
      </c>
      <c r="O57" s="20" t="e">
        <f>#REF!*J57*L57</f>
        <v>#REF!</v>
      </c>
      <c r="P57" s="20" t="e">
        <f>SUM(N57:O57)</f>
        <v>#REF!</v>
      </c>
      <c r="Q57" s="21"/>
      <c r="R57" s="22">
        <v>1.47</v>
      </c>
      <c r="S57">
        <v>1.58</v>
      </c>
      <c r="T57">
        <v>6</v>
      </c>
      <c r="U57">
        <v>6</v>
      </c>
      <c r="V57">
        <f>R57*J57*T57</f>
        <v>30.2526</v>
      </c>
      <c r="W57">
        <f>S57*U57*J57</f>
        <v>32.516400000000004</v>
      </c>
      <c r="X57">
        <f>SUM(V57:W57)</f>
        <v>62.769000000000005</v>
      </c>
      <c r="Y57">
        <f>C7</f>
        <v>3191.46</v>
      </c>
      <c r="Z57" s="22">
        <f>C57+D57</f>
        <v>3.43</v>
      </c>
      <c r="AA57" s="34">
        <v>1.89</v>
      </c>
    </row>
    <row r="58" spans="1:17" ht="18.75">
      <c r="A58" s="10"/>
      <c r="B58" s="26"/>
      <c r="C58" s="10"/>
      <c r="D58" s="10"/>
      <c r="E58" s="10"/>
      <c r="F58" s="10"/>
      <c r="G58" s="10"/>
      <c r="H58" s="10"/>
      <c r="Q58" s="24"/>
    </row>
    <row r="59" spans="1:17" ht="18.75">
      <c r="A59" s="179" t="s">
        <v>941</v>
      </c>
      <c r="B59" s="179"/>
      <c r="C59" s="183">
        <v>80968.32</v>
      </c>
      <c r="D59" s="183"/>
      <c r="E59" s="6" t="s">
        <v>18</v>
      </c>
      <c r="F59" s="10"/>
      <c r="G59" s="10"/>
      <c r="H59" s="10"/>
      <c r="Q59" s="24"/>
    </row>
    <row r="60" spans="1:17" ht="18.75">
      <c r="A60" s="179" t="s">
        <v>942</v>
      </c>
      <c r="B60" s="179"/>
      <c r="C60" s="183">
        <v>66038.88</v>
      </c>
      <c r="D60" s="183"/>
      <c r="E60" s="6" t="s">
        <v>18</v>
      </c>
      <c r="F60" s="10"/>
      <c r="G60" s="10"/>
      <c r="H60" s="10"/>
      <c r="Q60" s="24"/>
    </row>
    <row r="61" spans="1:8" ht="18.75">
      <c r="A61" s="180" t="s">
        <v>17</v>
      </c>
      <c r="B61" s="180"/>
      <c r="C61" s="180"/>
      <c r="D61" s="180"/>
      <c r="E61" s="180"/>
      <c r="F61" s="180"/>
      <c r="G61" s="180"/>
      <c r="H61" s="10"/>
    </row>
    <row r="62" spans="1:8" ht="18.75" customHeight="1" hidden="1">
      <c r="A62" s="181" t="s">
        <v>35</v>
      </c>
      <c r="B62" s="181"/>
      <c r="C62" s="5" t="e">
        <f>C59-#REF!</f>
        <v>#REF!</v>
      </c>
      <c r="D62" s="10" t="s">
        <v>18</v>
      </c>
      <c r="E62" s="10"/>
      <c r="F62" s="10"/>
      <c r="G62" s="10"/>
      <c r="H62" s="10"/>
    </row>
    <row r="63" spans="1:8" ht="18.75" customHeight="1" hidden="1">
      <c r="A63" s="181" t="s">
        <v>36</v>
      </c>
      <c r="B63" s="181"/>
      <c r="C63" s="85">
        <f>E56-F56</f>
        <v>36193.51399999997</v>
      </c>
      <c r="D63" s="84" t="str">
        <f>D62</f>
        <v>рублей</v>
      </c>
      <c r="H63" s="28"/>
    </row>
  </sheetData>
  <sheetProtection/>
  <mergeCells count="18">
    <mergeCell ref="A1:G2"/>
    <mergeCell ref="A3:G3"/>
    <mergeCell ref="A4:H5"/>
    <mergeCell ref="F9:F11"/>
    <mergeCell ref="G9:G11"/>
    <mergeCell ref="J9:Q12"/>
    <mergeCell ref="R9:X12"/>
    <mergeCell ref="A9:A11"/>
    <mergeCell ref="B9:B11"/>
    <mergeCell ref="C9:D10"/>
    <mergeCell ref="E9:E11"/>
    <mergeCell ref="C59:D59"/>
    <mergeCell ref="C60:D60"/>
    <mergeCell ref="A61:G61"/>
    <mergeCell ref="A62:B62"/>
    <mergeCell ref="A63:B63"/>
    <mergeCell ref="A59:B59"/>
    <mergeCell ref="A60:B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1" r:id="rId1"/>
  <rowBreaks count="1" manualBreakCount="1">
    <brk id="36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A62"/>
  <sheetViews>
    <sheetView view="pageBreakPreview" zoomScale="75" zoomScaleSheetLayoutView="75" zoomScalePageLayoutView="0" workbookViewId="0" topLeftCell="A52">
      <selection activeCell="F56" sqref="F56"/>
    </sheetView>
  </sheetViews>
  <sheetFormatPr defaultColWidth="9.00390625" defaultRowHeight="12.75"/>
  <cols>
    <col min="1" max="1" width="9.25390625" style="0" bestFit="1" customWidth="1"/>
    <col min="2" max="2" width="47.25390625" style="0" customWidth="1"/>
    <col min="3" max="3" width="12.875" style="0" customWidth="1"/>
    <col min="4" max="4" width="12.625" style="0" customWidth="1"/>
    <col min="5" max="5" width="13.75390625" style="0" customWidth="1"/>
    <col min="6" max="6" width="14.125" style="0" customWidth="1"/>
    <col min="7" max="7" width="12.875" style="0" bestFit="1" customWidth="1"/>
    <col min="8" max="13" width="9.25390625" style="0" hidden="1" customWidth="1"/>
    <col min="14" max="14" width="9.875" style="0" hidden="1" customWidth="1"/>
    <col min="15" max="16" width="9.25390625" style="0" hidden="1" customWidth="1"/>
    <col min="17" max="17" width="9.875" style="0" hidden="1" customWidth="1"/>
    <col min="18" max="24" width="0" style="0" hidden="1" customWidth="1"/>
  </cols>
  <sheetData>
    <row r="1" spans="1:8" ht="18.75">
      <c r="A1" s="179" t="s">
        <v>25</v>
      </c>
      <c r="B1" s="179"/>
      <c r="C1" s="179"/>
      <c r="D1" s="179"/>
      <c r="E1" s="179"/>
      <c r="F1" s="179"/>
      <c r="G1" s="179"/>
      <c r="H1" s="6"/>
    </row>
    <row r="2" spans="1:8" ht="18.75">
      <c r="A2" s="179"/>
      <c r="B2" s="179"/>
      <c r="C2" s="179"/>
      <c r="D2" s="179"/>
      <c r="E2" s="179"/>
      <c r="F2" s="179"/>
      <c r="G2" s="179"/>
      <c r="H2" s="6"/>
    </row>
    <row r="3" spans="1:8" ht="42.75" customHeight="1">
      <c r="A3" s="182" t="s">
        <v>42</v>
      </c>
      <c r="B3" s="182"/>
      <c r="C3" s="182"/>
      <c r="D3" s="182"/>
      <c r="E3" s="182"/>
      <c r="F3" s="182"/>
      <c r="G3" s="182"/>
      <c r="H3" s="7"/>
    </row>
    <row r="4" spans="1:8" ht="12.75">
      <c r="A4" s="179" t="s">
        <v>110</v>
      </c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8.75">
      <c r="A6" s="5"/>
      <c r="B6" s="5"/>
      <c r="C6" s="5"/>
      <c r="D6" s="5"/>
      <c r="E6" s="5"/>
      <c r="F6" s="5"/>
      <c r="G6" s="5"/>
      <c r="H6" s="5"/>
    </row>
    <row r="7" spans="1:8" ht="22.5">
      <c r="A7" s="8"/>
      <c r="B7" s="9" t="s">
        <v>5</v>
      </c>
      <c r="C7" s="5">
        <v>3128.4</v>
      </c>
      <c r="D7" s="5" t="s">
        <v>31</v>
      </c>
      <c r="E7" s="10"/>
      <c r="F7" s="10"/>
      <c r="G7" s="10"/>
      <c r="H7" s="10"/>
    </row>
    <row r="8" spans="1:8" ht="18.75">
      <c r="A8" s="8"/>
      <c r="B8" s="5"/>
      <c r="C8" s="5"/>
      <c r="D8" s="5"/>
      <c r="E8" s="5"/>
      <c r="F8" s="5"/>
      <c r="G8" s="5"/>
      <c r="H8" s="5"/>
    </row>
    <row r="9" spans="1:24" ht="18.75" customHeight="1">
      <c r="A9" s="184" t="s">
        <v>8</v>
      </c>
      <c r="B9" s="184" t="s">
        <v>6</v>
      </c>
      <c r="C9" s="185" t="s">
        <v>32</v>
      </c>
      <c r="D9" s="186"/>
      <c r="E9" s="189" t="s">
        <v>99</v>
      </c>
      <c r="F9" s="178" t="s">
        <v>74</v>
      </c>
      <c r="G9" s="178" t="s">
        <v>218</v>
      </c>
      <c r="H9" s="11"/>
      <c r="I9" s="2"/>
      <c r="J9" s="197" t="s">
        <v>33</v>
      </c>
      <c r="K9" s="198"/>
      <c r="L9" s="198"/>
      <c r="M9" s="198"/>
      <c r="N9" s="198"/>
      <c r="O9" s="198"/>
      <c r="P9" s="198"/>
      <c r="Q9" s="198"/>
      <c r="R9" s="199" t="s">
        <v>34</v>
      </c>
      <c r="S9" s="199"/>
      <c r="T9" s="199"/>
      <c r="U9" s="199"/>
      <c r="V9" s="199"/>
      <c r="W9" s="199"/>
      <c r="X9" s="199"/>
    </row>
    <row r="10" spans="1:24" ht="52.5" customHeight="1">
      <c r="A10" s="184"/>
      <c r="B10" s="184"/>
      <c r="C10" s="187"/>
      <c r="D10" s="188"/>
      <c r="E10" s="190"/>
      <c r="F10" s="178"/>
      <c r="G10" s="178"/>
      <c r="H10" s="12"/>
      <c r="I10" s="2"/>
      <c r="J10" s="197"/>
      <c r="K10" s="198"/>
      <c r="L10" s="198"/>
      <c r="M10" s="198"/>
      <c r="N10" s="198"/>
      <c r="O10" s="198"/>
      <c r="P10" s="198"/>
      <c r="Q10" s="198"/>
      <c r="R10" s="199"/>
      <c r="S10" s="199"/>
      <c r="T10" s="199"/>
      <c r="U10" s="199"/>
      <c r="V10" s="199"/>
      <c r="W10" s="199"/>
      <c r="X10" s="199"/>
    </row>
    <row r="11" spans="1:24" ht="82.5" customHeight="1">
      <c r="A11" s="184"/>
      <c r="B11" s="184"/>
      <c r="C11" s="87" t="s">
        <v>107</v>
      </c>
      <c r="D11" s="87" t="s">
        <v>106</v>
      </c>
      <c r="E11" s="191"/>
      <c r="F11" s="178"/>
      <c r="G11" s="178"/>
      <c r="H11" s="12"/>
      <c r="I11" s="2"/>
      <c r="J11" s="197"/>
      <c r="K11" s="198"/>
      <c r="L11" s="198"/>
      <c r="M11" s="198"/>
      <c r="N11" s="198"/>
      <c r="O11" s="198"/>
      <c r="P11" s="198"/>
      <c r="Q11" s="198"/>
      <c r="R11" s="199"/>
      <c r="S11" s="199"/>
      <c r="T11" s="199"/>
      <c r="U11" s="199"/>
      <c r="V11" s="199"/>
      <c r="W11" s="199"/>
      <c r="X11" s="199"/>
    </row>
    <row r="12" spans="1:24" ht="56.25">
      <c r="A12" s="13" t="s">
        <v>12</v>
      </c>
      <c r="B12" s="14" t="s">
        <v>20</v>
      </c>
      <c r="C12" s="13"/>
      <c r="D12" s="13"/>
      <c r="E12" s="13"/>
      <c r="F12" s="13"/>
      <c r="G12" s="13"/>
      <c r="H12" s="12"/>
      <c r="I12" s="2"/>
      <c r="J12" s="197"/>
      <c r="K12" s="198"/>
      <c r="L12" s="198"/>
      <c r="M12" s="198"/>
      <c r="N12" s="198"/>
      <c r="O12" s="198"/>
      <c r="P12" s="198"/>
      <c r="Q12" s="198"/>
      <c r="R12" s="199"/>
      <c r="S12" s="199"/>
      <c r="T12" s="199"/>
      <c r="U12" s="199"/>
      <c r="V12" s="199"/>
      <c r="W12" s="199"/>
      <c r="X12" s="199"/>
    </row>
    <row r="13" spans="1:27" ht="18.75">
      <c r="A13" s="15" t="s">
        <v>13</v>
      </c>
      <c r="B13" s="14" t="s">
        <v>10</v>
      </c>
      <c r="C13" s="34">
        <v>1.09</v>
      </c>
      <c r="D13" s="34">
        <v>1.14</v>
      </c>
      <c r="E13" s="16">
        <f aca="true" t="shared" si="0" ref="E13:E18">Y13*Z13*6</f>
        <v>41857.992</v>
      </c>
      <c r="F13" s="16">
        <f>E13</f>
        <v>41857.992</v>
      </c>
      <c r="G13" s="16">
        <f aca="true" t="shared" si="1" ref="G13:G18">AA13*Y13*12</f>
        <v>42796.511999999995</v>
      </c>
      <c r="H13" s="17">
        <f aca="true" t="shared" si="2" ref="H13:H18">1.04993597951*C13</f>
        <v>1.1444302176659003</v>
      </c>
      <c r="I13" s="18">
        <f aca="true" t="shared" si="3" ref="I13:I18">1.12035851472*C13</f>
        <v>1.2211907810448</v>
      </c>
      <c r="J13" s="19">
        <f>C7</f>
        <v>3128.4</v>
      </c>
      <c r="K13">
        <v>6</v>
      </c>
      <c r="L13">
        <v>2</v>
      </c>
      <c r="M13">
        <v>4</v>
      </c>
      <c r="N13" s="20">
        <f aca="true" t="shared" si="4" ref="N13:N18">C13*J13*K13</f>
        <v>20459.736</v>
      </c>
      <c r="O13" s="20" t="e">
        <f>J13*#REF!*L13</f>
        <v>#REF!</v>
      </c>
      <c r="P13" s="20">
        <f aca="true" t="shared" si="5" ref="P13:P18">D13*J13*M13</f>
        <v>14265.503999999999</v>
      </c>
      <c r="Q13" s="21" t="e">
        <f aca="true" t="shared" si="6" ref="Q13:Q18">SUM(N13:P13)</f>
        <v>#REF!</v>
      </c>
      <c r="R13" s="22">
        <v>1.05</v>
      </c>
      <c r="S13" s="22">
        <v>1.09</v>
      </c>
      <c r="T13">
        <v>6</v>
      </c>
      <c r="U13">
        <v>6</v>
      </c>
      <c r="V13">
        <f aca="true" t="shared" si="7" ref="V13:V18">J13*R13*U13</f>
        <v>19708.920000000002</v>
      </c>
      <c r="W13">
        <f aca="true" t="shared" si="8" ref="W13:W18">U13*S13*J13</f>
        <v>20459.736000000004</v>
      </c>
      <c r="X13">
        <f aca="true" t="shared" si="9" ref="X13:X18">SUM(V13:W13)</f>
        <v>40168.656</v>
      </c>
      <c r="Y13">
        <f>C7</f>
        <v>3128.4</v>
      </c>
      <c r="Z13" s="22">
        <f aca="true" t="shared" si="10" ref="Z13:Z18">C13+D13</f>
        <v>2.23</v>
      </c>
      <c r="AA13" s="34">
        <v>1.14</v>
      </c>
    </row>
    <row r="14" spans="1:27" ht="37.5">
      <c r="A14" s="15" t="s">
        <v>14</v>
      </c>
      <c r="B14" s="14" t="s">
        <v>15</v>
      </c>
      <c r="C14" s="34">
        <v>1.39</v>
      </c>
      <c r="D14" s="34">
        <v>1.46</v>
      </c>
      <c r="E14" s="16">
        <f t="shared" si="0"/>
        <v>53495.63999999999</v>
      </c>
      <c r="F14" s="16">
        <f>E14</f>
        <v>53495.63999999999</v>
      </c>
      <c r="G14" s="16">
        <f t="shared" si="1"/>
        <v>54809.568</v>
      </c>
      <c r="H14" s="17">
        <f t="shared" si="2"/>
        <v>1.4594110115189</v>
      </c>
      <c r="I14" s="18">
        <f t="shared" si="3"/>
        <v>1.5572983354607999</v>
      </c>
      <c r="J14" s="19">
        <f>J13</f>
        <v>3128.4</v>
      </c>
      <c r="K14">
        <v>6</v>
      </c>
      <c r="L14">
        <v>2</v>
      </c>
      <c r="M14">
        <v>4</v>
      </c>
      <c r="N14" s="20">
        <f t="shared" si="4"/>
        <v>26090.856</v>
      </c>
      <c r="O14" s="20" t="e">
        <f>J14*#REF!*L14</f>
        <v>#REF!</v>
      </c>
      <c r="P14" s="20">
        <f t="shared" si="5"/>
        <v>18269.856</v>
      </c>
      <c r="Q14" s="21" t="e">
        <f t="shared" si="6"/>
        <v>#REF!</v>
      </c>
      <c r="R14" s="22">
        <v>1.33</v>
      </c>
      <c r="S14" s="22">
        <v>1.39</v>
      </c>
      <c r="T14">
        <v>6</v>
      </c>
      <c r="U14">
        <v>6</v>
      </c>
      <c r="V14">
        <f t="shared" si="7"/>
        <v>24964.631999999998</v>
      </c>
      <c r="W14">
        <f t="shared" si="8"/>
        <v>26090.856</v>
      </c>
      <c r="X14">
        <f t="shared" si="9"/>
        <v>51055.488</v>
      </c>
      <c r="Y14">
        <f>Y13</f>
        <v>3128.4</v>
      </c>
      <c r="Z14" s="22">
        <f t="shared" si="10"/>
        <v>2.8499999999999996</v>
      </c>
      <c r="AA14" s="34">
        <v>1.46</v>
      </c>
    </row>
    <row r="15" spans="1:27" ht="18.75">
      <c r="A15" s="15" t="s">
        <v>16</v>
      </c>
      <c r="B15" s="14" t="s">
        <v>7</v>
      </c>
      <c r="C15" s="34"/>
      <c r="D15" s="34"/>
      <c r="E15" s="16"/>
      <c r="F15" s="16"/>
      <c r="G15" s="16"/>
      <c r="H15" s="17">
        <f t="shared" si="2"/>
        <v>0</v>
      </c>
      <c r="I15" s="18">
        <f t="shared" si="3"/>
        <v>0</v>
      </c>
      <c r="J15" s="19">
        <f>J14</f>
        <v>3128.4</v>
      </c>
      <c r="K15">
        <v>6</v>
      </c>
      <c r="L15">
        <v>2</v>
      </c>
      <c r="M15">
        <v>4</v>
      </c>
      <c r="N15" s="20">
        <f t="shared" si="4"/>
        <v>0</v>
      </c>
      <c r="O15" s="20" t="e">
        <f>J15*#REF!*L15</f>
        <v>#REF!</v>
      </c>
      <c r="P15" s="20">
        <f t="shared" si="5"/>
        <v>0</v>
      </c>
      <c r="Q15" s="21" t="e">
        <f t="shared" si="6"/>
        <v>#REF!</v>
      </c>
      <c r="R15" s="22">
        <v>0.13</v>
      </c>
      <c r="S15" s="22">
        <v>0</v>
      </c>
      <c r="T15">
        <v>6</v>
      </c>
      <c r="U15">
        <v>6</v>
      </c>
      <c r="V15">
        <f t="shared" si="7"/>
        <v>2440.152</v>
      </c>
      <c r="W15">
        <f t="shared" si="8"/>
        <v>0</v>
      </c>
      <c r="X15">
        <f t="shared" si="9"/>
        <v>2440.152</v>
      </c>
      <c r="Y15">
        <f>Y14</f>
        <v>3128.4</v>
      </c>
      <c r="Z15" s="22">
        <f t="shared" si="10"/>
        <v>0</v>
      </c>
      <c r="AA15" s="34">
        <v>0</v>
      </c>
    </row>
    <row r="16" spans="1:27" ht="18.75">
      <c r="A16" s="15" t="s">
        <v>21</v>
      </c>
      <c r="B16" s="14" t="s">
        <v>11</v>
      </c>
      <c r="C16" s="34">
        <v>0.82</v>
      </c>
      <c r="D16" s="34">
        <v>0.58</v>
      </c>
      <c r="E16" s="16">
        <f t="shared" si="0"/>
        <v>26278.56</v>
      </c>
      <c r="F16" s="16">
        <f>E16</f>
        <v>26278.56</v>
      </c>
      <c r="G16" s="16">
        <f t="shared" si="1"/>
        <v>21773.664</v>
      </c>
      <c r="H16" s="17">
        <f t="shared" si="2"/>
        <v>0.8609475031982</v>
      </c>
      <c r="I16" s="18">
        <f t="shared" si="3"/>
        <v>0.9186939820703999</v>
      </c>
      <c r="J16" s="19">
        <f>J15</f>
        <v>3128.4</v>
      </c>
      <c r="K16">
        <v>6</v>
      </c>
      <c r="L16">
        <v>2</v>
      </c>
      <c r="M16">
        <v>4</v>
      </c>
      <c r="N16" s="20">
        <f t="shared" si="4"/>
        <v>15391.728</v>
      </c>
      <c r="O16" s="20" t="e">
        <f>J16*#REF!*L16</f>
        <v>#REF!</v>
      </c>
      <c r="P16" s="20">
        <f t="shared" si="5"/>
        <v>7257.888</v>
      </c>
      <c r="Q16" s="21" t="e">
        <f t="shared" si="6"/>
        <v>#REF!</v>
      </c>
      <c r="R16" s="22">
        <v>0.79</v>
      </c>
      <c r="S16" s="22">
        <v>0.82</v>
      </c>
      <c r="T16">
        <v>6</v>
      </c>
      <c r="U16">
        <v>6</v>
      </c>
      <c r="V16">
        <f t="shared" si="7"/>
        <v>14828.616000000002</v>
      </c>
      <c r="W16">
        <f t="shared" si="8"/>
        <v>15391.728000000001</v>
      </c>
      <c r="X16">
        <f t="shared" si="9"/>
        <v>30220.344000000005</v>
      </c>
      <c r="Y16">
        <f>Y15</f>
        <v>3128.4</v>
      </c>
      <c r="Z16" s="22">
        <f t="shared" si="10"/>
        <v>1.4</v>
      </c>
      <c r="AA16" s="34">
        <v>0.58</v>
      </c>
    </row>
    <row r="17" spans="1:27" ht="18.75">
      <c r="A17" s="15" t="s">
        <v>22</v>
      </c>
      <c r="B17" s="14" t="s">
        <v>19</v>
      </c>
      <c r="C17" s="34">
        <v>1.24</v>
      </c>
      <c r="D17" s="34">
        <v>1.24</v>
      </c>
      <c r="E17" s="16">
        <f t="shared" si="0"/>
        <v>46550.592</v>
      </c>
      <c r="F17" s="16">
        <f>E17</f>
        <v>46550.592</v>
      </c>
      <c r="G17" s="16">
        <f t="shared" si="1"/>
        <v>46550.592</v>
      </c>
      <c r="H17" s="17">
        <f t="shared" si="2"/>
        <v>1.3019206145924</v>
      </c>
      <c r="I17" s="18">
        <f t="shared" si="3"/>
        <v>1.3892445582528</v>
      </c>
      <c r="J17" s="19">
        <f>J16</f>
        <v>3128.4</v>
      </c>
      <c r="K17">
        <v>6</v>
      </c>
      <c r="L17">
        <v>2</v>
      </c>
      <c r="M17">
        <v>4</v>
      </c>
      <c r="N17" s="20">
        <f t="shared" si="4"/>
        <v>23275.296</v>
      </c>
      <c r="O17" s="20" t="e">
        <f>J17*#REF!*L17</f>
        <v>#REF!</v>
      </c>
      <c r="P17" s="20">
        <f t="shared" si="5"/>
        <v>15516.864</v>
      </c>
      <c r="Q17" s="21" t="e">
        <f t="shared" si="6"/>
        <v>#REF!</v>
      </c>
      <c r="R17" s="22">
        <v>1.24</v>
      </c>
      <c r="S17" s="22">
        <v>1.24</v>
      </c>
      <c r="T17">
        <v>6</v>
      </c>
      <c r="U17">
        <v>6</v>
      </c>
      <c r="V17">
        <f t="shared" si="7"/>
        <v>23275.296</v>
      </c>
      <c r="W17">
        <f t="shared" si="8"/>
        <v>23275.296</v>
      </c>
      <c r="X17">
        <f t="shared" si="9"/>
        <v>46550.592</v>
      </c>
      <c r="Y17">
        <f>Y16</f>
        <v>3128.4</v>
      </c>
      <c r="Z17" s="22">
        <f t="shared" si="10"/>
        <v>2.48</v>
      </c>
      <c r="AA17" s="34">
        <v>1.24</v>
      </c>
    </row>
    <row r="18" spans="1:27" ht="75">
      <c r="A18" s="15" t="s">
        <v>23</v>
      </c>
      <c r="B18" s="14" t="s">
        <v>24</v>
      </c>
      <c r="C18" s="34">
        <v>4.47</v>
      </c>
      <c r="D18" s="34">
        <v>5.18</v>
      </c>
      <c r="E18" s="16">
        <f t="shared" si="0"/>
        <v>181134.36</v>
      </c>
      <c r="F18" s="101">
        <f>F20+F21+F22+F24+F25+F26+F28+F30+F32+F34+F35+F37+F38+F40+F41+F43+F45+F46+F47+F49+F50+F52+F53</f>
        <v>133001.81</v>
      </c>
      <c r="G18" s="16">
        <f t="shared" si="1"/>
        <v>194461.34399999998</v>
      </c>
      <c r="H18" s="17">
        <f t="shared" si="2"/>
        <v>4.6932138284097</v>
      </c>
      <c r="I18" s="18">
        <f t="shared" si="3"/>
        <v>5.008002560798399</v>
      </c>
      <c r="J18" s="19">
        <f>J17</f>
        <v>3128.4</v>
      </c>
      <c r="K18">
        <v>6</v>
      </c>
      <c r="L18">
        <v>2</v>
      </c>
      <c r="M18">
        <v>4</v>
      </c>
      <c r="N18" s="20">
        <f t="shared" si="4"/>
        <v>83903.688</v>
      </c>
      <c r="O18" s="20" t="e">
        <f>J18*#REF!*L18</f>
        <v>#REF!</v>
      </c>
      <c r="P18" s="20">
        <f t="shared" si="5"/>
        <v>64820.448</v>
      </c>
      <c r="Q18" s="21" t="e">
        <f t="shared" si="6"/>
        <v>#REF!</v>
      </c>
      <c r="R18" s="22">
        <v>4.21</v>
      </c>
      <c r="S18" s="22">
        <v>4.62</v>
      </c>
      <c r="T18">
        <v>6</v>
      </c>
      <c r="U18">
        <v>6</v>
      </c>
      <c r="V18">
        <f t="shared" si="7"/>
        <v>79023.384</v>
      </c>
      <c r="W18">
        <f t="shared" si="8"/>
        <v>86719.24799999999</v>
      </c>
      <c r="X18">
        <f t="shared" si="9"/>
        <v>165742.63199999998</v>
      </c>
      <c r="Y18">
        <f>Y17</f>
        <v>3128.4</v>
      </c>
      <c r="Z18" s="22">
        <f t="shared" si="10"/>
        <v>9.649999999999999</v>
      </c>
      <c r="AA18" s="34">
        <v>5.18</v>
      </c>
    </row>
    <row r="19" spans="1:19" ht="18.75">
      <c r="A19" s="15"/>
      <c r="B19" s="34" t="s">
        <v>75</v>
      </c>
      <c r="C19" s="16"/>
      <c r="D19" s="16"/>
      <c r="E19" s="16"/>
      <c r="F19" s="101"/>
      <c r="G19" s="16"/>
      <c r="H19" s="17"/>
      <c r="I19" s="18"/>
      <c r="J19" s="19"/>
      <c r="N19" s="20"/>
      <c r="O19" s="20"/>
      <c r="P19" s="20"/>
      <c r="Q19" s="21"/>
      <c r="R19" s="22"/>
      <c r="S19" s="22"/>
    </row>
    <row r="20" spans="1:19" ht="21.75" customHeight="1">
      <c r="A20" s="15"/>
      <c r="B20" s="14" t="s">
        <v>30</v>
      </c>
      <c r="C20" s="16"/>
      <c r="D20" s="16"/>
      <c r="E20" s="16"/>
      <c r="F20" s="102">
        <v>597.33</v>
      </c>
      <c r="G20" s="16"/>
      <c r="H20" s="17"/>
      <c r="I20" s="18"/>
      <c r="J20" s="19"/>
      <c r="N20" s="20"/>
      <c r="O20" s="20"/>
      <c r="P20" s="20"/>
      <c r="Q20" s="21"/>
      <c r="R20" s="22"/>
      <c r="S20" s="22"/>
    </row>
    <row r="21" spans="1:19" ht="54" customHeight="1">
      <c r="A21" s="15"/>
      <c r="B21" s="14" t="s">
        <v>306</v>
      </c>
      <c r="C21" s="16"/>
      <c r="D21" s="16"/>
      <c r="E21" s="16"/>
      <c r="F21" s="101">
        <v>2722.25</v>
      </c>
      <c r="G21" s="16"/>
      <c r="H21" s="17"/>
      <c r="I21" s="18"/>
      <c r="J21" s="19"/>
      <c r="N21" s="20"/>
      <c r="O21" s="20"/>
      <c r="P21" s="20"/>
      <c r="Q21" s="21"/>
      <c r="R21" s="22"/>
      <c r="S21" s="22"/>
    </row>
    <row r="22" spans="1:19" ht="21.75" customHeight="1">
      <c r="A22" s="15"/>
      <c r="B22" s="14" t="s">
        <v>307</v>
      </c>
      <c r="C22" s="16"/>
      <c r="D22" s="16"/>
      <c r="E22" s="16"/>
      <c r="F22" s="101">
        <v>230.42</v>
      </c>
      <c r="G22" s="16"/>
      <c r="H22" s="17"/>
      <c r="I22" s="18"/>
      <c r="J22" s="19"/>
      <c r="N22" s="20"/>
      <c r="O22" s="20"/>
      <c r="P22" s="20"/>
      <c r="Q22" s="21"/>
      <c r="R22" s="22"/>
      <c r="S22" s="22"/>
    </row>
    <row r="23" spans="1:19" ht="18.75">
      <c r="A23" s="15"/>
      <c r="B23" s="33" t="s">
        <v>88</v>
      </c>
      <c r="C23" s="16"/>
      <c r="D23" s="16"/>
      <c r="E23" s="16"/>
      <c r="F23" s="101"/>
      <c r="G23" s="16"/>
      <c r="H23" s="17"/>
      <c r="I23" s="18"/>
      <c r="J23" s="19"/>
      <c r="N23" s="20"/>
      <c r="O23" s="20"/>
      <c r="P23" s="20"/>
      <c r="Q23" s="21"/>
      <c r="R23" s="22"/>
      <c r="S23" s="22"/>
    </row>
    <row r="24" spans="1:19" ht="18.75">
      <c r="A24" s="15"/>
      <c r="B24" s="83" t="s">
        <v>931</v>
      </c>
      <c r="C24" s="16"/>
      <c r="D24" s="16"/>
      <c r="E24" s="16"/>
      <c r="F24" s="101">
        <v>57.91</v>
      </c>
      <c r="G24" s="16"/>
      <c r="H24" s="17"/>
      <c r="I24" s="18"/>
      <c r="J24" s="19"/>
      <c r="N24" s="20"/>
      <c r="O24" s="20"/>
      <c r="P24" s="20"/>
      <c r="Q24" s="21"/>
      <c r="R24" s="22"/>
      <c r="S24" s="22"/>
    </row>
    <row r="25" spans="1:19" ht="18.75">
      <c r="A25" s="15"/>
      <c r="B25" s="83" t="s">
        <v>270</v>
      </c>
      <c r="C25" s="16"/>
      <c r="D25" s="16"/>
      <c r="E25" s="16"/>
      <c r="F25" s="101">
        <v>362.32</v>
      </c>
      <c r="G25" s="16"/>
      <c r="H25" s="17"/>
      <c r="I25" s="18"/>
      <c r="J25" s="19"/>
      <c r="N25" s="20"/>
      <c r="O25" s="20"/>
      <c r="P25" s="20"/>
      <c r="Q25" s="21"/>
      <c r="R25" s="22"/>
      <c r="S25" s="22"/>
    </row>
    <row r="26" spans="1:19" ht="56.25">
      <c r="A26" s="15"/>
      <c r="B26" s="14" t="s">
        <v>308</v>
      </c>
      <c r="C26" s="16"/>
      <c r="D26" s="16"/>
      <c r="E26" s="16"/>
      <c r="F26" s="108">
        <v>19282.42</v>
      </c>
      <c r="G26" s="16"/>
      <c r="H26" s="17"/>
      <c r="I26" s="18"/>
      <c r="J26" s="19"/>
      <c r="N26" s="20"/>
      <c r="O26" s="20"/>
      <c r="P26" s="20"/>
      <c r="Q26" s="21"/>
      <c r="R26" s="22"/>
      <c r="S26" s="22"/>
    </row>
    <row r="27" spans="1:19" ht="22.5" customHeight="1">
      <c r="A27" s="15"/>
      <c r="B27" s="33" t="s">
        <v>89</v>
      </c>
      <c r="C27" s="16"/>
      <c r="D27" s="16"/>
      <c r="E27" s="16"/>
      <c r="F27" s="108"/>
      <c r="G27" s="16"/>
      <c r="H27" s="17"/>
      <c r="I27" s="18"/>
      <c r="J27" s="19"/>
      <c r="N27" s="20"/>
      <c r="O27" s="20"/>
      <c r="P27" s="20"/>
      <c r="Q27" s="21"/>
      <c r="R27" s="22"/>
      <c r="S27" s="22"/>
    </row>
    <row r="28" spans="1:19" ht="18.75">
      <c r="A28" s="15"/>
      <c r="B28" s="14" t="s">
        <v>148</v>
      </c>
      <c r="C28" s="16"/>
      <c r="D28" s="16"/>
      <c r="E28" s="16"/>
      <c r="F28" s="108">
        <v>258.18</v>
      </c>
      <c r="G28" s="16"/>
      <c r="H28" s="17"/>
      <c r="I28" s="18"/>
      <c r="J28" s="19"/>
      <c r="N28" s="20"/>
      <c r="O28" s="20"/>
      <c r="P28" s="20"/>
      <c r="Q28" s="21"/>
      <c r="R28" s="22"/>
      <c r="S28" s="22"/>
    </row>
    <row r="29" spans="1:19" ht="18.75">
      <c r="A29" s="15"/>
      <c r="B29" s="33" t="s">
        <v>90</v>
      </c>
      <c r="C29" s="16"/>
      <c r="D29" s="16"/>
      <c r="E29" s="16"/>
      <c r="F29" s="108"/>
      <c r="G29" s="16"/>
      <c r="H29" s="17"/>
      <c r="I29" s="18"/>
      <c r="J29" s="19"/>
      <c r="N29" s="20"/>
      <c r="O29" s="20"/>
      <c r="P29" s="20"/>
      <c r="Q29" s="21"/>
      <c r="R29" s="22"/>
      <c r="S29" s="22"/>
    </row>
    <row r="30" spans="1:19" ht="37.5">
      <c r="A30" s="15"/>
      <c r="B30" s="14" t="s">
        <v>309</v>
      </c>
      <c r="C30" s="16"/>
      <c r="D30" s="16"/>
      <c r="E30" s="16"/>
      <c r="F30" s="108">
        <v>12281.33</v>
      </c>
      <c r="G30" s="16"/>
      <c r="H30" s="17"/>
      <c r="I30" s="18"/>
      <c r="J30" s="19"/>
      <c r="N30" s="20"/>
      <c r="O30" s="20"/>
      <c r="P30" s="20"/>
      <c r="Q30" s="21"/>
      <c r="R30" s="22"/>
      <c r="S30" s="22"/>
    </row>
    <row r="31" spans="1:19" ht="18.75">
      <c r="A31" s="15"/>
      <c r="B31" s="33" t="s">
        <v>91</v>
      </c>
      <c r="C31" s="16"/>
      <c r="D31" s="16"/>
      <c r="E31" s="16"/>
      <c r="F31" s="108"/>
      <c r="G31" s="16"/>
      <c r="H31" s="17"/>
      <c r="I31" s="18"/>
      <c r="J31" s="19"/>
      <c r="N31" s="20"/>
      <c r="O31" s="20"/>
      <c r="P31" s="20"/>
      <c r="Q31" s="21"/>
      <c r="R31" s="22"/>
      <c r="S31" s="22"/>
    </row>
    <row r="32" spans="1:19" ht="18.75">
      <c r="A32" s="15"/>
      <c r="B32" s="14" t="s">
        <v>310</v>
      </c>
      <c r="C32" s="16"/>
      <c r="D32" s="16"/>
      <c r="E32" s="16"/>
      <c r="F32" s="108">
        <v>4501.25</v>
      </c>
      <c r="G32" s="16"/>
      <c r="H32" s="17"/>
      <c r="I32" s="18"/>
      <c r="J32" s="19"/>
      <c r="N32" s="20"/>
      <c r="O32" s="20"/>
      <c r="P32" s="20"/>
      <c r="Q32" s="21"/>
      <c r="R32" s="22"/>
      <c r="S32" s="22"/>
    </row>
    <row r="33" spans="1:24" ht="18.75">
      <c r="A33" s="15"/>
      <c r="B33" s="33" t="s">
        <v>92</v>
      </c>
      <c r="C33" s="16"/>
      <c r="D33" s="16"/>
      <c r="E33" s="16"/>
      <c r="F33" s="108"/>
      <c r="G33" s="23"/>
      <c r="H33" s="17"/>
      <c r="I33" s="18"/>
      <c r="J33" s="19"/>
      <c r="K33">
        <v>6</v>
      </c>
      <c r="L33">
        <v>2</v>
      </c>
      <c r="M33">
        <v>4</v>
      </c>
      <c r="N33" s="20">
        <f>C33*J33*K33</f>
        <v>0</v>
      </c>
      <c r="O33" s="20" t="e">
        <f>J33*#REF!*L33</f>
        <v>#REF!</v>
      </c>
      <c r="P33" s="20">
        <f>D33*J33*M33</f>
        <v>0</v>
      </c>
      <c r="Q33" s="24"/>
      <c r="R33" s="22"/>
      <c r="V33">
        <f>J33*R33*U33</f>
        <v>0</v>
      </c>
      <c r="W33">
        <f>U33*S33*J33</f>
        <v>0</v>
      </c>
      <c r="X33">
        <f>SUM(V33:W33)</f>
        <v>0</v>
      </c>
    </row>
    <row r="34" spans="1:24" ht="75">
      <c r="A34" s="15"/>
      <c r="B34" s="14" t="s">
        <v>311</v>
      </c>
      <c r="C34" s="16"/>
      <c r="D34" s="16"/>
      <c r="E34" s="16"/>
      <c r="F34" s="108">
        <v>13113.39</v>
      </c>
      <c r="G34" s="23"/>
      <c r="H34" s="17"/>
      <c r="I34" s="18"/>
      <c r="J34" s="19"/>
      <c r="K34">
        <v>6</v>
      </c>
      <c r="L34">
        <v>2</v>
      </c>
      <c r="M34">
        <v>4</v>
      </c>
      <c r="N34" s="20">
        <f>C34*J34*K34</f>
        <v>0</v>
      </c>
      <c r="O34" s="20" t="e">
        <f>J34*#REF!*L34</f>
        <v>#REF!</v>
      </c>
      <c r="P34" s="20">
        <f>D34*J34*M34</f>
        <v>0</v>
      </c>
      <c r="Q34" s="24"/>
      <c r="R34" s="22"/>
      <c r="V34">
        <f>J34*R34*U34</f>
        <v>0</v>
      </c>
      <c r="W34">
        <f>U34*S34*J34</f>
        <v>0</v>
      </c>
      <c r="X34">
        <f>SUM(V34:W34)</f>
        <v>0</v>
      </c>
    </row>
    <row r="35" spans="1:18" ht="18.75">
      <c r="A35" s="15"/>
      <c r="B35" s="14" t="s">
        <v>270</v>
      </c>
      <c r="C35" s="16"/>
      <c r="D35" s="16"/>
      <c r="E35" s="16"/>
      <c r="F35" s="108">
        <v>2725.87</v>
      </c>
      <c r="G35" s="23"/>
      <c r="H35" s="17"/>
      <c r="I35" s="18"/>
      <c r="J35" s="19"/>
      <c r="N35" s="20"/>
      <c r="O35" s="20"/>
      <c r="P35" s="20"/>
      <c r="Q35" s="24"/>
      <c r="R35" s="22"/>
    </row>
    <row r="36" spans="1:18" ht="18.75">
      <c r="A36" s="15"/>
      <c r="B36" s="33" t="s">
        <v>93</v>
      </c>
      <c r="C36" s="16"/>
      <c r="D36" s="16"/>
      <c r="E36" s="16"/>
      <c r="F36" s="108"/>
      <c r="G36" s="23"/>
      <c r="H36" s="17"/>
      <c r="I36" s="18"/>
      <c r="J36" s="19"/>
      <c r="N36" s="20"/>
      <c r="O36" s="20"/>
      <c r="P36" s="20"/>
      <c r="Q36" s="24"/>
      <c r="R36" s="22"/>
    </row>
    <row r="37" spans="1:18" ht="56.25">
      <c r="A37" s="15"/>
      <c r="B37" s="14" t="s">
        <v>312</v>
      </c>
      <c r="C37" s="16"/>
      <c r="D37" s="16"/>
      <c r="E37" s="16"/>
      <c r="F37" s="108">
        <v>16062.82</v>
      </c>
      <c r="G37" s="23"/>
      <c r="H37" s="17"/>
      <c r="I37" s="18"/>
      <c r="J37" s="19"/>
      <c r="N37" s="20"/>
      <c r="O37" s="20"/>
      <c r="P37" s="20"/>
      <c r="Q37" s="24"/>
      <c r="R37" s="22"/>
    </row>
    <row r="38" spans="1:18" ht="37.5">
      <c r="A38" s="15"/>
      <c r="B38" s="14" t="s">
        <v>313</v>
      </c>
      <c r="C38" s="16"/>
      <c r="D38" s="16"/>
      <c r="E38" s="16"/>
      <c r="F38" s="108">
        <v>1757.75</v>
      </c>
      <c r="G38" s="23"/>
      <c r="H38" s="17"/>
      <c r="I38" s="18"/>
      <c r="J38" s="19"/>
      <c r="N38" s="20"/>
      <c r="O38" s="20"/>
      <c r="P38" s="20"/>
      <c r="Q38" s="24"/>
      <c r="R38" s="22"/>
    </row>
    <row r="39" spans="1:18" ht="18.75">
      <c r="A39" s="15"/>
      <c r="B39" s="33" t="s">
        <v>94</v>
      </c>
      <c r="C39" s="16"/>
      <c r="D39" s="16"/>
      <c r="E39" s="16"/>
      <c r="F39" s="108"/>
      <c r="G39" s="23"/>
      <c r="H39" s="17"/>
      <c r="I39" s="18"/>
      <c r="J39" s="19"/>
      <c r="N39" s="20"/>
      <c r="O39" s="20"/>
      <c r="P39" s="20"/>
      <c r="Q39" s="24"/>
      <c r="R39" s="22"/>
    </row>
    <row r="40" spans="1:18" ht="78" customHeight="1">
      <c r="A40" s="15"/>
      <c r="B40" s="14" t="s">
        <v>932</v>
      </c>
      <c r="C40" s="16"/>
      <c r="D40" s="16"/>
      <c r="E40" s="16"/>
      <c r="F40" s="108">
        <v>11130.88</v>
      </c>
      <c r="G40" s="23"/>
      <c r="H40" s="17"/>
      <c r="I40" s="18"/>
      <c r="J40" s="19"/>
      <c r="N40" s="20"/>
      <c r="O40" s="20"/>
      <c r="P40" s="20"/>
      <c r="Q40" s="24"/>
      <c r="R40" s="22"/>
    </row>
    <row r="41" spans="1:18" ht="18.75">
      <c r="A41" s="15"/>
      <c r="B41" s="14" t="s">
        <v>314</v>
      </c>
      <c r="C41" s="16"/>
      <c r="D41" s="16"/>
      <c r="E41" s="16"/>
      <c r="F41" s="108">
        <v>170.48</v>
      </c>
      <c r="G41" s="23"/>
      <c r="H41" s="17"/>
      <c r="I41" s="18"/>
      <c r="J41" s="19"/>
      <c r="N41" s="20"/>
      <c r="O41" s="20"/>
      <c r="P41" s="20"/>
      <c r="Q41" s="24"/>
      <c r="R41" s="22"/>
    </row>
    <row r="42" spans="1:18" ht="18.75">
      <c r="A42" s="15"/>
      <c r="B42" s="33" t="s">
        <v>98</v>
      </c>
      <c r="C42" s="16"/>
      <c r="D42" s="16"/>
      <c r="E42" s="16"/>
      <c r="F42" s="108"/>
      <c r="G42" s="23"/>
      <c r="H42" s="17"/>
      <c r="I42" s="18"/>
      <c r="J42" s="19"/>
      <c r="N42" s="20"/>
      <c r="O42" s="20"/>
      <c r="P42" s="20"/>
      <c r="Q42" s="24"/>
      <c r="R42" s="22"/>
    </row>
    <row r="43" spans="1:18" ht="56.25">
      <c r="A43" s="15"/>
      <c r="B43" s="14" t="s">
        <v>315</v>
      </c>
      <c r="C43" s="16"/>
      <c r="D43" s="16"/>
      <c r="E43" s="16"/>
      <c r="F43" s="108">
        <v>7454.69</v>
      </c>
      <c r="G43" s="23"/>
      <c r="H43" s="17"/>
      <c r="I43" s="18"/>
      <c r="J43" s="19"/>
      <c r="N43" s="20"/>
      <c r="O43" s="20"/>
      <c r="P43" s="20"/>
      <c r="Q43" s="24"/>
      <c r="R43" s="22"/>
    </row>
    <row r="44" spans="1:18" ht="18.75">
      <c r="A44" s="15"/>
      <c r="B44" s="33" t="s">
        <v>95</v>
      </c>
      <c r="C44" s="16"/>
      <c r="D44" s="16"/>
      <c r="E44" s="16"/>
      <c r="F44" s="108"/>
      <c r="G44" s="23"/>
      <c r="H44" s="17"/>
      <c r="I44" s="18"/>
      <c r="J44" s="19"/>
      <c r="N44" s="20"/>
      <c r="O44" s="20"/>
      <c r="P44" s="20"/>
      <c r="Q44" s="24"/>
      <c r="R44" s="22"/>
    </row>
    <row r="45" spans="1:18" ht="76.5" customHeight="1">
      <c r="A45" s="15"/>
      <c r="B45" s="14" t="s">
        <v>316</v>
      </c>
      <c r="C45" s="16"/>
      <c r="D45" s="16"/>
      <c r="E45" s="16"/>
      <c r="F45" s="108">
        <v>18342.74</v>
      </c>
      <c r="G45" s="23"/>
      <c r="H45" s="17"/>
      <c r="I45" s="18"/>
      <c r="J45" s="19"/>
      <c r="N45" s="20"/>
      <c r="O45" s="20"/>
      <c r="P45" s="20"/>
      <c r="Q45" s="24"/>
      <c r="R45" s="22"/>
    </row>
    <row r="46" spans="1:18" ht="18.75">
      <c r="A46" s="15"/>
      <c r="B46" s="14" t="s">
        <v>103</v>
      </c>
      <c r="C46" s="16"/>
      <c r="D46" s="16"/>
      <c r="E46" s="16"/>
      <c r="F46" s="108">
        <v>331.08</v>
      </c>
      <c r="G46" s="23"/>
      <c r="H46" s="17"/>
      <c r="I46" s="18"/>
      <c r="J46" s="19"/>
      <c r="N46" s="20"/>
      <c r="O46" s="20"/>
      <c r="P46" s="20"/>
      <c r="Q46" s="24"/>
      <c r="R46" s="22"/>
    </row>
    <row r="47" spans="1:18" ht="38.25" customHeight="1">
      <c r="A47" s="15"/>
      <c r="B47" s="14" t="s">
        <v>317</v>
      </c>
      <c r="C47" s="16"/>
      <c r="D47" s="16"/>
      <c r="E47" s="16"/>
      <c r="F47" s="108">
        <v>2346.87</v>
      </c>
      <c r="G47" s="23"/>
      <c r="H47" s="17"/>
      <c r="I47" s="18"/>
      <c r="J47" s="19"/>
      <c r="N47" s="20"/>
      <c r="O47" s="20"/>
      <c r="P47" s="20"/>
      <c r="Q47" s="24"/>
      <c r="R47" s="22"/>
    </row>
    <row r="48" spans="1:18" ht="18.75">
      <c r="A48" s="15"/>
      <c r="B48" s="33" t="s">
        <v>96</v>
      </c>
      <c r="C48" s="16"/>
      <c r="D48" s="16"/>
      <c r="E48" s="16"/>
      <c r="F48" s="108"/>
      <c r="G48" s="23"/>
      <c r="H48" s="17"/>
      <c r="I48" s="18"/>
      <c r="J48" s="19"/>
      <c r="N48" s="20"/>
      <c r="O48" s="20"/>
      <c r="P48" s="20"/>
      <c r="Q48" s="24"/>
      <c r="R48" s="22"/>
    </row>
    <row r="49" spans="1:18" ht="56.25">
      <c r="A49" s="15"/>
      <c r="B49" s="14" t="s">
        <v>318</v>
      </c>
      <c r="C49" s="16"/>
      <c r="D49" s="16"/>
      <c r="E49" s="16"/>
      <c r="F49" s="108">
        <v>11621.74</v>
      </c>
      <c r="G49" s="23"/>
      <c r="H49" s="17"/>
      <c r="I49" s="18"/>
      <c r="J49" s="19"/>
      <c r="N49" s="20"/>
      <c r="O49" s="20"/>
      <c r="P49" s="20"/>
      <c r="Q49" s="24"/>
      <c r="R49" s="22"/>
    </row>
    <row r="50" spans="1:18" ht="30.75" customHeight="1">
      <c r="A50" s="15"/>
      <c r="B50" s="14" t="s">
        <v>103</v>
      </c>
      <c r="C50" s="16"/>
      <c r="D50" s="16"/>
      <c r="E50" s="16"/>
      <c r="F50" s="108">
        <v>212.18</v>
      </c>
      <c r="G50" s="23"/>
      <c r="H50" s="17"/>
      <c r="I50" s="18"/>
      <c r="J50" s="19"/>
      <c r="N50" s="20"/>
      <c r="O50" s="20"/>
      <c r="P50" s="20"/>
      <c r="Q50" s="24"/>
      <c r="R50" s="22"/>
    </row>
    <row r="51" spans="1:18" ht="18.75">
      <c r="A51" s="15"/>
      <c r="B51" s="33" t="s">
        <v>97</v>
      </c>
      <c r="C51" s="16"/>
      <c r="D51" s="16"/>
      <c r="E51" s="16"/>
      <c r="F51" s="108"/>
      <c r="G51" s="23"/>
      <c r="H51" s="17"/>
      <c r="I51" s="18"/>
      <c r="J51" s="19"/>
      <c r="N51" s="20"/>
      <c r="O51" s="20"/>
      <c r="P51" s="20"/>
      <c r="Q51" s="24"/>
      <c r="R51" s="22"/>
    </row>
    <row r="52" spans="1:18" ht="56.25">
      <c r="A52" s="15"/>
      <c r="B52" s="14" t="s">
        <v>320</v>
      </c>
      <c r="C52" s="16"/>
      <c r="D52" s="16"/>
      <c r="E52" s="16"/>
      <c r="F52" s="108">
        <v>7014.42</v>
      </c>
      <c r="G52" s="23"/>
      <c r="H52" s="17"/>
      <c r="I52" s="18"/>
      <c r="J52" s="19"/>
      <c r="N52" s="20"/>
      <c r="O52" s="20"/>
      <c r="P52" s="20"/>
      <c r="Q52" s="24"/>
      <c r="R52" s="22"/>
    </row>
    <row r="53" spans="1:18" ht="37.5">
      <c r="A53" s="15"/>
      <c r="B53" s="14" t="s">
        <v>319</v>
      </c>
      <c r="C53" s="16"/>
      <c r="D53" s="16"/>
      <c r="E53" s="16"/>
      <c r="F53" s="108">
        <v>423.49</v>
      </c>
      <c r="G53" s="23"/>
      <c r="H53" s="17"/>
      <c r="I53" s="18"/>
      <c r="J53" s="19"/>
      <c r="N53" s="20"/>
      <c r="O53" s="20"/>
      <c r="P53" s="20"/>
      <c r="Q53" s="24"/>
      <c r="R53" s="22"/>
    </row>
    <row r="54" spans="1:18" ht="75">
      <c r="A54" s="15"/>
      <c r="B54" s="14" t="s">
        <v>943</v>
      </c>
      <c r="C54" s="16"/>
      <c r="D54" s="16"/>
      <c r="E54" s="16">
        <v>-6815.29</v>
      </c>
      <c r="F54" s="101">
        <f>E54</f>
        <v>-6815.29</v>
      </c>
      <c r="G54" s="23"/>
      <c r="H54" s="17"/>
      <c r="I54" s="18"/>
      <c r="J54" s="19"/>
      <c r="N54" s="20"/>
      <c r="O54" s="20"/>
      <c r="P54" s="20"/>
      <c r="Q54" s="24"/>
      <c r="R54" s="22"/>
    </row>
    <row r="55" spans="1:24" ht="18.75">
      <c r="A55" s="12"/>
      <c r="B55" s="14" t="s">
        <v>9</v>
      </c>
      <c r="C55" s="13">
        <f>SUM(C13:C34)</f>
        <v>9.01</v>
      </c>
      <c r="D55" s="16">
        <f>I55</f>
        <v>10.094430217627199</v>
      </c>
      <c r="E55" s="16">
        <f>SUM(E13:E34)+E54</f>
        <v>342501.854</v>
      </c>
      <c r="F55" s="101">
        <f>F13+F14+F15+F16+F17+F18+F54</f>
        <v>294369.304</v>
      </c>
      <c r="G55" s="16">
        <f>SUM(G12:G53)</f>
        <v>360391.67999999993</v>
      </c>
      <c r="H55" s="17">
        <f>1.04993597951*C55</f>
        <v>9.4599231753851</v>
      </c>
      <c r="I55" s="18">
        <f>1.12035851472*C55</f>
        <v>10.094430217627199</v>
      </c>
      <c r="J55" s="19">
        <f>J18</f>
        <v>3128.4</v>
      </c>
      <c r="N55" s="20"/>
      <c r="Q55" s="24"/>
      <c r="R55" s="22">
        <f>SUM(R13:R34)</f>
        <v>8.75</v>
      </c>
      <c r="S55" s="22">
        <f>SUM(S13:S34)</f>
        <v>9.16</v>
      </c>
      <c r="T55" s="22"/>
      <c r="U55" s="22"/>
      <c r="V55" s="22">
        <f>SUM(V13:V34)</f>
        <v>164241</v>
      </c>
      <c r="W55" s="22">
        <f>SUM(W13:W34)</f>
        <v>171936.864</v>
      </c>
      <c r="X55" s="22">
        <f>SUM(X13:X34)</f>
        <v>336177.864</v>
      </c>
    </row>
    <row r="56" spans="1:27" ht="18.75">
      <c r="A56" s="13">
        <v>5</v>
      </c>
      <c r="B56" s="25" t="s">
        <v>26</v>
      </c>
      <c r="C56" s="108">
        <v>1.58</v>
      </c>
      <c r="D56" s="108">
        <v>1.85</v>
      </c>
      <c r="E56" s="98">
        <f>Z56*Y56*6</f>
        <v>64382.472</v>
      </c>
      <c r="F56" s="101">
        <f>E56</f>
        <v>64382.472</v>
      </c>
      <c r="G56" s="101">
        <f>AA56*Y56*12</f>
        <v>70952.112</v>
      </c>
      <c r="H56">
        <f>H31</f>
        <v>0</v>
      </c>
      <c r="I56" s="22">
        <f>C56+D56</f>
        <v>3.43</v>
      </c>
      <c r="J56" s="34">
        <v>3.43</v>
      </c>
      <c r="K56">
        <v>10</v>
      </c>
      <c r="L56">
        <v>2</v>
      </c>
      <c r="N56" s="20">
        <f>C56*J56*K56</f>
        <v>54.194</v>
      </c>
      <c r="O56" s="20" t="e">
        <f>#REF!*J56*L56</f>
        <v>#REF!</v>
      </c>
      <c r="P56" s="20" t="e">
        <f>SUM(N56:O56)</f>
        <v>#REF!</v>
      </c>
      <c r="Q56" s="21"/>
      <c r="R56" s="22">
        <v>1.47</v>
      </c>
      <c r="S56">
        <v>1.58</v>
      </c>
      <c r="T56">
        <v>6</v>
      </c>
      <c r="U56">
        <v>6</v>
      </c>
      <c r="V56">
        <f>R56*J56*T56</f>
        <v>30.2526</v>
      </c>
      <c r="W56">
        <f>S56*U56*J56</f>
        <v>32.516400000000004</v>
      </c>
      <c r="X56">
        <f>SUM(V56:W56)</f>
        <v>62.769000000000005</v>
      </c>
      <c r="Y56">
        <f>C7</f>
        <v>3128.4</v>
      </c>
      <c r="Z56" s="22">
        <f>C56+D56</f>
        <v>3.43</v>
      </c>
      <c r="AA56" s="34">
        <v>1.89</v>
      </c>
    </row>
    <row r="57" spans="1:17" ht="18.75">
      <c r="A57" s="10"/>
      <c r="B57" s="26"/>
      <c r="C57" s="10"/>
      <c r="D57" s="10"/>
      <c r="E57" s="10"/>
      <c r="F57" s="10"/>
      <c r="G57" s="10"/>
      <c r="H57" s="10"/>
      <c r="Q57" s="24"/>
    </row>
    <row r="58" spans="1:17" ht="18.75">
      <c r="A58" s="179" t="s">
        <v>941</v>
      </c>
      <c r="B58" s="179"/>
      <c r="C58" s="183">
        <v>66039.48</v>
      </c>
      <c r="D58" s="183"/>
      <c r="E58" s="6" t="s">
        <v>18</v>
      </c>
      <c r="F58" s="10"/>
      <c r="G58" s="10"/>
      <c r="H58" s="10"/>
      <c r="Q58" s="24"/>
    </row>
    <row r="59" spans="1:17" ht="18.75">
      <c r="A59" s="179" t="s">
        <v>942</v>
      </c>
      <c r="B59" s="179"/>
      <c r="C59" s="183">
        <v>58896.87</v>
      </c>
      <c r="D59" s="183"/>
      <c r="E59" s="6" t="s">
        <v>18</v>
      </c>
      <c r="F59" s="10"/>
      <c r="G59" s="10"/>
      <c r="H59" s="10"/>
      <c r="Q59" s="24"/>
    </row>
    <row r="60" spans="1:8" ht="18.75">
      <c r="A60" s="180" t="s">
        <v>17</v>
      </c>
      <c r="B60" s="180"/>
      <c r="C60" s="180"/>
      <c r="D60" s="180"/>
      <c r="E60" s="180"/>
      <c r="F60" s="180"/>
      <c r="G60" s="180"/>
      <c r="H60" s="10"/>
    </row>
    <row r="61" spans="1:8" ht="18.75" customHeight="1" hidden="1">
      <c r="A61" s="181" t="s">
        <v>35</v>
      </c>
      <c r="B61" s="181"/>
      <c r="C61" s="5" t="e">
        <f>C58-#REF!</f>
        <v>#REF!</v>
      </c>
      <c r="D61" s="10" t="s">
        <v>18</v>
      </c>
      <c r="E61" s="10"/>
      <c r="F61" s="10"/>
      <c r="G61" s="10"/>
      <c r="H61" s="10"/>
    </row>
    <row r="62" spans="1:8" ht="18.75" customHeight="1" hidden="1">
      <c r="A62" s="181" t="s">
        <v>36</v>
      </c>
      <c r="B62" s="181"/>
      <c r="C62" s="85">
        <f>E55-F55</f>
        <v>48132.54999999999</v>
      </c>
      <c r="D62" s="84" t="str">
        <f>D61</f>
        <v>рублей</v>
      </c>
      <c r="H62" s="28"/>
    </row>
  </sheetData>
  <sheetProtection/>
  <mergeCells count="18">
    <mergeCell ref="A1:G2"/>
    <mergeCell ref="A3:G3"/>
    <mergeCell ref="A4:H5"/>
    <mergeCell ref="F9:F11"/>
    <mergeCell ref="G9:G11"/>
    <mergeCell ref="J9:Q12"/>
    <mergeCell ref="R9:X12"/>
    <mergeCell ref="A9:A11"/>
    <mergeCell ref="B9:B11"/>
    <mergeCell ref="C9:D10"/>
    <mergeCell ref="E9:E11"/>
    <mergeCell ref="C58:D58"/>
    <mergeCell ref="C59:D59"/>
    <mergeCell ref="A60:G60"/>
    <mergeCell ref="A61:B61"/>
    <mergeCell ref="A62:B62"/>
    <mergeCell ref="A58:B58"/>
    <mergeCell ref="A59:B5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4" r:id="rId1"/>
  <rowBreaks count="1" manualBreakCount="1">
    <brk id="35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KGEKY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User</cp:lastModifiedBy>
  <cp:lastPrinted>2015-03-22T09:22:27Z</cp:lastPrinted>
  <dcterms:created xsi:type="dcterms:W3CDTF">2003-03-24T05:52:18Z</dcterms:created>
  <dcterms:modified xsi:type="dcterms:W3CDTF">2015-03-22T11:56:36Z</dcterms:modified>
  <cp:category/>
  <cp:version/>
  <cp:contentType/>
  <cp:contentStatus/>
</cp:coreProperties>
</file>